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40" windowHeight="12570"/>
  </bookViews>
  <sheets>
    <sheet name="Dane wyjściowe" sheetId="1" r:id="rId1"/>
    <sheet name="Wskaźniki płynności finansowej" sheetId="2" r:id="rId2"/>
    <sheet name="Kapitał obrotowy netto" sheetId="3" r:id="rId3"/>
    <sheet name="Wskaźniki rotacji" sheetId="4" r:id="rId4"/>
    <sheet name="Prognoza zapotrzebowani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9" i="1" l="1"/>
  <c r="C26" i="3"/>
  <c r="D9" i="3"/>
  <c r="C16" i="1" l="1"/>
  <c r="D16" i="1"/>
  <c r="E16" i="1"/>
  <c r="F16" i="1"/>
  <c r="G16" i="1"/>
  <c r="H16" i="1"/>
  <c r="I16" i="1"/>
  <c r="J16" i="1"/>
  <c r="K16" i="1"/>
  <c r="D37" i="5" l="1"/>
  <c r="D35" i="5"/>
  <c r="D39" i="5"/>
  <c r="E39" i="5"/>
  <c r="F39" i="5"/>
  <c r="G39" i="5"/>
  <c r="H39" i="5"/>
  <c r="I39" i="5"/>
  <c r="J39" i="5"/>
  <c r="K39" i="5"/>
  <c r="C45" i="5"/>
  <c r="C44" i="5"/>
  <c r="C43" i="5"/>
  <c r="C9" i="4"/>
  <c r="C18" i="5" s="1"/>
  <c r="D9" i="4"/>
  <c r="D18" i="5" s="1"/>
  <c r="E9" i="4"/>
  <c r="E18" i="5" s="1"/>
  <c r="F9" i="4"/>
  <c r="F18" i="5" s="1"/>
  <c r="G9" i="4"/>
  <c r="G18" i="5" s="1"/>
  <c r="H9" i="4"/>
  <c r="H18" i="5" s="1"/>
  <c r="I9" i="4"/>
  <c r="J9" i="4"/>
  <c r="J18" i="5" s="1"/>
  <c r="C8" i="4"/>
  <c r="C17" i="5" s="1"/>
  <c r="D8" i="4"/>
  <c r="D17" i="5" s="1"/>
  <c r="E8" i="4"/>
  <c r="F8" i="4"/>
  <c r="F17" i="5" s="1"/>
  <c r="G8" i="4"/>
  <c r="G17" i="5" s="1"/>
  <c r="H8" i="4"/>
  <c r="H17" i="5" s="1"/>
  <c r="I8" i="4"/>
  <c r="I17" i="5" s="1"/>
  <c r="J8" i="4"/>
  <c r="J17" i="5" s="1"/>
  <c r="C7" i="4"/>
  <c r="C16" i="5" s="1"/>
  <c r="D7" i="4"/>
  <c r="E7" i="4"/>
  <c r="E16" i="5" s="1"/>
  <c r="F7" i="4"/>
  <c r="F16" i="5" s="1"/>
  <c r="G7" i="4"/>
  <c r="G16" i="5" s="1"/>
  <c r="G19" i="5" s="1"/>
  <c r="H7" i="4"/>
  <c r="H16" i="5" s="1"/>
  <c r="I7" i="4"/>
  <c r="I16" i="5" s="1"/>
  <c r="J7" i="4"/>
  <c r="K9" i="4"/>
  <c r="K18" i="5" s="1"/>
  <c r="K8" i="4"/>
  <c r="K17" i="5" s="1"/>
  <c r="K7" i="4"/>
  <c r="K16" i="5" s="1"/>
  <c r="I19" i="1"/>
  <c r="I40" i="5" s="1"/>
  <c r="H19" i="1"/>
  <c r="G19" i="1"/>
  <c r="F19" i="1"/>
  <c r="F50" i="4" s="1"/>
  <c r="C19" i="1"/>
  <c r="C50" i="4" s="1"/>
  <c r="J19" i="1"/>
  <c r="J52" i="4" s="1"/>
  <c r="K19" i="1"/>
  <c r="D19" i="1"/>
  <c r="D52" i="4" s="1"/>
  <c r="E19" i="1"/>
  <c r="E52" i="4" s="1"/>
  <c r="J41" i="4"/>
  <c r="I41" i="4"/>
  <c r="H41" i="4"/>
  <c r="G41" i="4"/>
  <c r="F41" i="4"/>
  <c r="E41" i="4"/>
  <c r="D41" i="4"/>
  <c r="C41" i="4"/>
  <c r="K41" i="4"/>
  <c r="J39" i="4"/>
  <c r="I39" i="4"/>
  <c r="H39" i="4"/>
  <c r="G39" i="4"/>
  <c r="F39" i="4"/>
  <c r="E39" i="4"/>
  <c r="D39" i="4"/>
  <c r="C39" i="4"/>
  <c r="K39" i="4"/>
  <c r="J30" i="4"/>
  <c r="I30" i="4"/>
  <c r="H30" i="4"/>
  <c r="G30" i="4"/>
  <c r="F30" i="4"/>
  <c r="E30" i="4"/>
  <c r="D30" i="4"/>
  <c r="C30" i="4"/>
  <c r="K30" i="4"/>
  <c r="C29" i="4"/>
  <c r="C51" i="4" s="1"/>
  <c r="D29" i="4"/>
  <c r="D51" i="4" s="1"/>
  <c r="E29" i="4"/>
  <c r="E51" i="4" s="1"/>
  <c r="F29" i="4"/>
  <c r="F51" i="4" s="1"/>
  <c r="G29" i="4"/>
  <c r="G51" i="4" s="1"/>
  <c r="H29" i="4"/>
  <c r="H51" i="4" s="1"/>
  <c r="I29" i="4"/>
  <c r="I51" i="4" s="1"/>
  <c r="J29" i="4"/>
  <c r="J51" i="4" s="1"/>
  <c r="K29" i="4"/>
  <c r="K51" i="4" s="1"/>
  <c r="C28" i="4"/>
  <c r="D28" i="4"/>
  <c r="E28" i="4"/>
  <c r="F28" i="4"/>
  <c r="G28" i="4"/>
  <c r="H28" i="4"/>
  <c r="I28" i="4"/>
  <c r="J28" i="4"/>
  <c r="K28" i="4"/>
  <c r="C20" i="4"/>
  <c r="D20" i="4"/>
  <c r="E20" i="4"/>
  <c r="F20" i="4"/>
  <c r="G20" i="4"/>
  <c r="H20" i="4"/>
  <c r="I20" i="4"/>
  <c r="J20" i="4"/>
  <c r="C19" i="4"/>
  <c r="C40" i="4" s="1"/>
  <c r="D19" i="4"/>
  <c r="D40" i="4" s="1"/>
  <c r="E19" i="4"/>
  <c r="E40" i="4" s="1"/>
  <c r="F19" i="4"/>
  <c r="F40" i="4" s="1"/>
  <c r="G19" i="4"/>
  <c r="G40" i="4" s="1"/>
  <c r="H19" i="4"/>
  <c r="H40" i="4" s="1"/>
  <c r="I19" i="4"/>
  <c r="I40" i="4" s="1"/>
  <c r="J19" i="4"/>
  <c r="J40" i="4" s="1"/>
  <c r="K20" i="4"/>
  <c r="K19" i="4"/>
  <c r="K40" i="4" s="1"/>
  <c r="C18" i="4"/>
  <c r="D18" i="4"/>
  <c r="E18" i="4"/>
  <c r="F18" i="4"/>
  <c r="G18" i="4"/>
  <c r="H18" i="4"/>
  <c r="I18" i="4"/>
  <c r="J18" i="4"/>
  <c r="K18" i="4"/>
  <c r="C8" i="3"/>
  <c r="D8" i="3"/>
  <c r="E8" i="3"/>
  <c r="E9" i="3" s="1"/>
  <c r="F8" i="3"/>
  <c r="G8" i="3"/>
  <c r="G9" i="3" s="1"/>
  <c r="H8" i="3"/>
  <c r="I8" i="3"/>
  <c r="I9" i="3" s="1"/>
  <c r="J8" i="3"/>
  <c r="K8" i="3"/>
  <c r="K9" i="3" s="1"/>
  <c r="C29" i="2"/>
  <c r="C25" i="2"/>
  <c r="C21" i="2"/>
  <c r="C17" i="2"/>
  <c r="D21" i="2" l="1"/>
  <c r="D25" i="2"/>
  <c r="F40" i="5"/>
  <c r="F52" i="4"/>
  <c r="E50" i="4"/>
  <c r="C52" i="4"/>
  <c r="E40" i="5"/>
  <c r="J50" i="4"/>
  <c r="D50" i="4"/>
  <c r="D53" i="4" s="1"/>
  <c r="D54" i="4" s="1"/>
  <c r="D40" i="5"/>
  <c r="I50" i="4"/>
  <c r="I53" i="4" s="1"/>
  <c r="I52" i="4"/>
  <c r="T8" i="4"/>
  <c r="T19" i="4" s="1"/>
  <c r="W8" i="4"/>
  <c r="W29" i="4" s="1"/>
  <c r="W51" i="4" s="1"/>
  <c r="W9" i="4"/>
  <c r="W41" i="4" s="1"/>
  <c r="S7" i="4"/>
  <c r="S28" i="4" s="1"/>
  <c r="Y7" i="4"/>
  <c r="Y28" i="4" s="1"/>
  <c r="F19" i="5"/>
  <c r="X7" i="4"/>
  <c r="X50" i="4" s="1"/>
  <c r="X9" i="4"/>
  <c r="D16" i="5"/>
  <c r="D19" i="5" s="1"/>
  <c r="T7" i="4"/>
  <c r="F6" i="5" s="1"/>
  <c r="T9" i="4"/>
  <c r="F8" i="5" s="1"/>
  <c r="J16" i="5"/>
  <c r="J19" i="5" s="1"/>
  <c r="I18" i="5"/>
  <c r="I19" i="5" s="1"/>
  <c r="S8" i="4"/>
  <c r="S29" i="4" s="1"/>
  <c r="S51" i="4" s="1"/>
  <c r="S9" i="4"/>
  <c r="S30" i="4" s="1"/>
  <c r="E17" i="5"/>
  <c r="E19" i="5" s="1"/>
  <c r="F7" i="5"/>
  <c r="K40" i="5"/>
  <c r="L40" i="5" s="1"/>
  <c r="C49" i="5" s="1"/>
  <c r="K50" i="4"/>
  <c r="K53" i="4" s="1"/>
  <c r="G40" i="5"/>
  <c r="G50" i="4"/>
  <c r="G53" i="4" s="1"/>
  <c r="U7" i="4"/>
  <c r="U9" i="4"/>
  <c r="V8" i="4"/>
  <c r="B19" i="3"/>
  <c r="R8" i="4"/>
  <c r="K19" i="5"/>
  <c r="G52" i="4"/>
  <c r="Y9" i="4"/>
  <c r="H52" i="4"/>
  <c r="H40" i="5"/>
  <c r="H50" i="4"/>
  <c r="H53" i="4" s="1"/>
  <c r="K52" i="4"/>
  <c r="W7" i="4"/>
  <c r="R7" i="4"/>
  <c r="R9" i="4"/>
  <c r="H19" i="5"/>
  <c r="J40" i="5"/>
  <c r="V7" i="4"/>
  <c r="X8" i="4"/>
  <c r="V9" i="4"/>
  <c r="H9" i="3"/>
  <c r="Y8" i="4"/>
  <c r="U8" i="4"/>
  <c r="L39" i="5"/>
  <c r="C50" i="5" s="1"/>
  <c r="G31" i="4"/>
  <c r="G32" i="4" s="1"/>
  <c r="H31" i="4"/>
  <c r="H32" i="4" s="1"/>
  <c r="H42" i="4"/>
  <c r="H43" i="4" s="1"/>
  <c r="D42" i="4"/>
  <c r="D43" i="4" s="1"/>
  <c r="C31" i="4"/>
  <c r="C32" i="4" s="1"/>
  <c r="G42" i="4"/>
  <c r="G43" i="4" s="1"/>
  <c r="C42" i="4"/>
  <c r="C43" i="4" s="1"/>
  <c r="C53" i="4"/>
  <c r="J42" i="4"/>
  <c r="J43" i="4" s="1"/>
  <c r="F42" i="4"/>
  <c r="F43" i="4" s="1"/>
  <c r="I31" i="4"/>
  <c r="I32" i="4" s="1"/>
  <c r="E31" i="4"/>
  <c r="E32" i="4" s="1"/>
  <c r="E42" i="4"/>
  <c r="E43" i="4" s="1"/>
  <c r="I42" i="4"/>
  <c r="I43" i="4" s="1"/>
  <c r="F53" i="4"/>
  <c r="F54" i="4" s="1"/>
  <c r="E53" i="4"/>
  <c r="E54" i="4" s="1"/>
  <c r="D31" i="4"/>
  <c r="D32" i="4" s="1"/>
  <c r="K42" i="4"/>
  <c r="K43" i="4" s="1"/>
  <c r="J21" i="4"/>
  <c r="J22" i="4" s="1"/>
  <c r="F21" i="4"/>
  <c r="F22" i="4" s="1"/>
  <c r="J31" i="4"/>
  <c r="J32" i="4" s="1"/>
  <c r="F31" i="4"/>
  <c r="F32" i="4" s="1"/>
  <c r="J53" i="4"/>
  <c r="J54" i="4" s="1"/>
  <c r="K31" i="4"/>
  <c r="K32" i="4" s="1"/>
  <c r="K21" i="4"/>
  <c r="K22" i="4" s="1"/>
  <c r="I21" i="4"/>
  <c r="I22" i="4" s="1"/>
  <c r="E21" i="4"/>
  <c r="E22" i="4" s="1"/>
  <c r="H21" i="4"/>
  <c r="H22" i="4" s="1"/>
  <c r="D21" i="4"/>
  <c r="D22" i="4" s="1"/>
  <c r="G21" i="4"/>
  <c r="G22" i="4" s="1"/>
  <c r="C21" i="4"/>
  <c r="C22" i="4" s="1"/>
  <c r="J9" i="3"/>
  <c r="F9" i="3"/>
  <c r="B21" i="3"/>
  <c r="B17" i="3"/>
  <c r="D29" i="2"/>
  <c r="E25" i="2"/>
  <c r="D17" i="2"/>
  <c r="E21" i="2" l="1"/>
  <c r="D50" i="5"/>
  <c r="E8" i="5"/>
  <c r="I54" i="4"/>
  <c r="S40" i="4"/>
  <c r="T39" i="4"/>
  <c r="C54" i="4"/>
  <c r="I7" i="5"/>
  <c r="W40" i="4"/>
  <c r="W52" i="4"/>
  <c r="T28" i="4"/>
  <c r="T18" i="4"/>
  <c r="T21" i="4" s="1"/>
  <c r="T22" i="4" s="1"/>
  <c r="I8" i="5"/>
  <c r="T30" i="4"/>
  <c r="X18" i="4"/>
  <c r="T52" i="4"/>
  <c r="S41" i="4"/>
  <c r="S39" i="4"/>
  <c r="W30" i="4"/>
  <c r="T40" i="4"/>
  <c r="T41" i="4"/>
  <c r="S52" i="4"/>
  <c r="E7" i="5"/>
  <c r="W19" i="4"/>
  <c r="T50" i="4"/>
  <c r="G54" i="4"/>
  <c r="S19" i="4"/>
  <c r="T29" i="4"/>
  <c r="T51" i="4" s="1"/>
  <c r="S18" i="4"/>
  <c r="S50" i="4"/>
  <c r="S53" i="4" s="1"/>
  <c r="F9" i="5"/>
  <c r="E6" i="5"/>
  <c r="H54" i="4"/>
  <c r="K54" i="4"/>
  <c r="X28" i="4"/>
  <c r="X39" i="4"/>
  <c r="J6" i="5"/>
  <c r="J8" i="5"/>
  <c r="X30" i="4"/>
  <c r="X52" i="4"/>
  <c r="X41" i="4"/>
  <c r="Y39" i="4"/>
  <c r="Y50" i="4"/>
  <c r="K6" i="5"/>
  <c r="Y18" i="4"/>
  <c r="R52" i="4"/>
  <c r="R41" i="4"/>
  <c r="R30" i="4"/>
  <c r="D8" i="5"/>
  <c r="U19" i="4"/>
  <c r="G7" i="5"/>
  <c r="U40" i="4"/>
  <c r="U29" i="4"/>
  <c r="U51" i="4" s="1"/>
  <c r="C51" i="5"/>
  <c r="C53" i="5" s="1"/>
  <c r="D51" i="5"/>
  <c r="D49" i="5"/>
  <c r="V52" i="4"/>
  <c r="V41" i="4"/>
  <c r="V30" i="4"/>
  <c r="H8" i="5"/>
  <c r="R39" i="4"/>
  <c r="R28" i="4"/>
  <c r="D6" i="5"/>
  <c r="R50" i="4"/>
  <c r="R18" i="4"/>
  <c r="V40" i="4"/>
  <c r="V29" i="4"/>
  <c r="V51" i="4" s="1"/>
  <c r="V19" i="4"/>
  <c r="H7" i="5"/>
  <c r="G8" i="5"/>
  <c r="U30" i="4"/>
  <c r="U52" i="4"/>
  <c r="U41" i="4"/>
  <c r="Y19" i="4"/>
  <c r="Y40" i="4"/>
  <c r="Y29" i="4"/>
  <c r="Y31" i="4" s="1"/>
  <c r="K7" i="5"/>
  <c r="J7" i="5"/>
  <c r="X29" i="4"/>
  <c r="X19" i="4"/>
  <c r="X40" i="4"/>
  <c r="I6" i="5"/>
  <c r="W50" i="4"/>
  <c r="W53" i="4" s="1"/>
  <c r="W39" i="4"/>
  <c r="W42" i="4" s="1"/>
  <c r="W43" i="4" s="1"/>
  <c r="W18" i="4"/>
  <c r="W28" i="4"/>
  <c r="W31" i="4" s="1"/>
  <c r="Y20" i="4"/>
  <c r="Y52" i="4"/>
  <c r="Y41" i="4"/>
  <c r="Y30" i="4"/>
  <c r="K8" i="5"/>
  <c r="R40" i="4"/>
  <c r="R29" i="4"/>
  <c r="R51" i="4" s="1"/>
  <c r="D7" i="5"/>
  <c r="R19" i="4"/>
  <c r="G6" i="5"/>
  <c r="U50" i="4"/>
  <c r="U28" i="4"/>
  <c r="U39" i="4"/>
  <c r="U18" i="4"/>
  <c r="V39" i="4"/>
  <c r="V28" i="4"/>
  <c r="H6" i="5"/>
  <c r="V50" i="4"/>
  <c r="V18" i="4"/>
  <c r="S31" i="4"/>
  <c r="S32" i="4" s="1"/>
  <c r="E17" i="2"/>
  <c r="E29" i="2"/>
  <c r="F25" i="2"/>
  <c r="S42" i="4" l="1"/>
  <c r="S43" i="4" s="1"/>
  <c r="F21" i="2"/>
  <c r="X21" i="4"/>
  <c r="X22" i="4" s="1"/>
  <c r="I9" i="5"/>
  <c r="T42" i="4"/>
  <c r="T43" i="4" s="1"/>
  <c r="W54" i="4"/>
  <c r="T53" i="4"/>
  <c r="T54" i="4" s="1"/>
  <c r="U21" i="4"/>
  <c r="U22" i="4" s="1"/>
  <c r="V53" i="4"/>
  <c r="V54" i="4" s="1"/>
  <c r="D53" i="5"/>
  <c r="W32" i="4"/>
  <c r="T31" i="4"/>
  <c r="T32" i="4" s="1"/>
  <c r="S54" i="4"/>
  <c r="E9" i="5"/>
  <c r="S21" i="4"/>
  <c r="S22" i="4" s="1"/>
  <c r="W21" i="4"/>
  <c r="W22" i="4" s="1"/>
  <c r="V31" i="4"/>
  <c r="V32" i="4" s="1"/>
  <c r="Y21" i="4"/>
  <c r="Y22" i="4" s="1"/>
  <c r="X42" i="4"/>
  <c r="X43" i="4" s="1"/>
  <c r="V42" i="4"/>
  <c r="V43" i="4" s="1"/>
  <c r="G9" i="5"/>
  <c r="U42" i="4"/>
  <c r="U43" i="4" s="1"/>
  <c r="H9" i="5"/>
  <c r="J9" i="5"/>
  <c r="R42" i="4"/>
  <c r="R43" i="4" s="1"/>
  <c r="C55" i="5"/>
  <c r="Y32" i="4"/>
  <c r="R31" i="4"/>
  <c r="R32" i="4" s="1"/>
  <c r="X51" i="4"/>
  <c r="X53" i="4" s="1"/>
  <c r="X54" i="4" s="1"/>
  <c r="X31" i="4"/>
  <c r="X32" i="4" s="1"/>
  <c r="R21" i="4"/>
  <c r="R22" i="4" s="1"/>
  <c r="Y51" i="4"/>
  <c r="Y53" i="4" s="1"/>
  <c r="Y54" i="4" s="1"/>
  <c r="Y42" i="4"/>
  <c r="Y43" i="4" s="1"/>
  <c r="U31" i="4"/>
  <c r="U32" i="4" s="1"/>
  <c r="R53" i="4"/>
  <c r="R54" i="4" s="1"/>
  <c r="V21" i="4"/>
  <c r="V22" i="4" s="1"/>
  <c r="U53" i="4"/>
  <c r="U54" i="4" s="1"/>
  <c r="K9" i="5"/>
  <c r="C54" i="5" s="1"/>
  <c r="D9" i="5"/>
  <c r="F17" i="2"/>
  <c r="F29" i="2"/>
  <c r="G25" i="2"/>
  <c r="G21" i="2" l="1"/>
  <c r="D54" i="5"/>
  <c r="D55" i="5" s="1"/>
  <c r="G17" i="2"/>
  <c r="G29" i="2"/>
  <c r="H25" i="2"/>
  <c r="H21" i="2" l="1"/>
  <c r="H17" i="2"/>
  <c r="H29" i="2"/>
  <c r="I25" i="2"/>
  <c r="I21" i="2" l="1"/>
  <c r="I17" i="2"/>
  <c r="I29" i="2"/>
  <c r="J25" i="2"/>
  <c r="J21" i="2" l="1"/>
  <c r="J17" i="2"/>
  <c r="J29" i="2"/>
  <c r="K25" i="2"/>
  <c r="K21" i="2" l="1"/>
  <c r="K17" i="2"/>
  <c r="K29" i="2"/>
  <c r="C8" i="2" l="1"/>
  <c r="C30" i="2" s="1"/>
  <c r="D8" i="2"/>
  <c r="D30" i="2" s="1"/>
  <c r="E8" i="2"/>
  <c r="E30" i="2" s="1"/>
  <c r="F8" i="2"/>
  <c r="F30" i="2" s="1"/>
  <c r="G8" i="2"/>
  <c r="G30" i="2" s="1"/>
  <c r="H8" i="2"/>
  <c r="H30" i="2" s="1"/>
  <c r="I8" i="2"/>
  <c r="I30" i="2" s="1"/>
  <c r="J8" i="2"/>
  <c r="J30" i="2" s="1"/>
  <c r="C7" i="2"/>
  <c r="C26" i="2" s="1"/>
  <c r="D7" i="2"/>
  <c r="E7" i="2"/>
  <c r="F7" i="2"/>
  <c r="G7" i="2"/>
  <c r="H7" i="2"/>
  <c r="I7" i="2"/>
  <c r="J7" i="2"/>
  <c r="K8" i="2"/>
  <c r="K30" i="2" s="1"/>
  <c r="K7" i="2"/>
  <c r="C6" i="2"/>
  <c r="C22" i="2" s="1"/>
  <c r="D6" i="2"/>
  <c r="E6" i="2"/>
  <c r="F6" i="2"/>
  <c r="G6" i="2"/>
  <c r="H6" i="2"/>
  <c r="I6" i="2"/>
  <c r="J6" i="2"/>
  <c r="K6" i="2"/>
  <c r="C19" i="3" s="1"/>
  <c r="C5" i="2"/>
  <c r="C18" i="2" s="1"/>
  <c r="D5" i="2"/>
  <c r="E5" i="2"/>
  <c r="F5" i="2"/>
  <c r="G5" i="2"/>
  <c r="H5" i="2"/>
  <c r="I5" i="2"/>
  <c r="J5" i="2"/>
  <c r="K5" i="2"/>
  <c r="C17" i="3" s="1"/>
  <c r="C37" i="2" l="1"/>
  <c r="K22" i="2"/>
  <c r="I18" i="2"/>
  <c r="I17" i="3" s="1"/>
  <c r="J22" i="2"/>
  <c r="J19" i="3" s="1"/>
  <c r="C21" i="3"/>
  <c r="K26" i="2"/>
  <c r="K39" i="2" s="1"/>
  <c r="C39" i="2"/>
  <c r="G18" i="2"/>
  <c r="H22" i="2"/>
  <c r="H19" i="3" s="1"/>
  <c r="D22" i="2"/>
  <c r="J26" i="2"/>
  <c r="J39" i="2" s="1"/>
  <c r="F26" i="2"/>
  <c r="F39" i="2" s="1"/>
  <c r="K18" i="2"/>
  <c r="K17" i="3" s="1"/>
  <c r="E18" i="2"/>
  <c r="E17" i="3" s="1"/>
  <c r="F22" i="2"/>
  <c r="H26" i="2"/>
  <c r="H39" i="2" s="1"/>
  <c r="D26" i="2"/>
  <c r="D21" i="3" s="1"/>
  <c r="H18" i="2"/>
  <c r="H17" i="3" s="1"/>
  <c r="D18" i="2"/>
  <c r="I22" i="2"/>
  <c r="I19" i="3" s="1"/>
  <c r="E22" i="2"/>
  <c r="G26" i="2"/>
  <c r="G21" i="3" s="1"/>
  <c r="J18" i="2"/>
  <c r="F18" i="2"/>
  <c r="F17" i="3" s="1"/>
  <c r="G22" i="2"/>
  <c r="G19" i="3" s="1"/>
  <c r="C38" i="2"/>
  <c r="I26" i="2"/>
  <c r="I21" i="3" s="1"/>
  <c r="E26" i="2"/>
  <c r="E21" i="3" s="1"/>
  <c r="I9" i="2"/>
  <c r="E10" i="2"/>
  <c r="I10" i="2"/>
  <c r="C10" i="2"/>
  <c r="C9" i="2"/>
  <c r="E9" i="2"/>
  <c r="K19" i="3"/>
  <c r="H10" i="2"/>
  <c r="F11" i="2"/>
  <c r="G9" i="2"/>
  <c r="C23" i="3"/>
  <c r="F10" i="2"/>
  <c r="C11" i="2"/>
  <c r="D11" i="2"/>
  <c r="D10" i="2"/>
  <c r="E11" i="2"/>
  <c r="G10" i="2"/>
  <c r="G11" i="2"/>
  <c r="H11" i="2"/>
  <c r="I11" i="2"/>
  <c r="J10" i="2"/>
  <c r="J11" i="2"/>
  <c r="K11" i="2"/>
  <c r="K10" i="2"/>
  <c r="H9" i="2"/>
  <c r="D9" i="2"/>
  <c r="J9" i="2"/>
  <c r="F9" i="2"/>
  <c r="K9" i="2"/>
  <c r="E39" i="2" l="1"/>
  <c r="J21" i="3"/>
  <c r="J37" i="2"/>
  <c r="J47" i="2" s="1"/>
  <c r="D37" i="2"/>
  <c r="D47" i="2" s="1"/>
  <c r="K21" i="3"/>
  <c r="E49" i="2"/>
  <c r="D38" i="2"/>
  <c r="D48" i="2" s="1"/>
  <c r="J17" i="3"/>
  <c r="J23" i="3" s="1"/>
  <c r="F49" i="2"/>
  <c r="K49" i="2"/>
  <c r="D17" i="3"/>
  <c r="H49" i="2"/>
  <c r="H21" i="3"/>
  <c r="H23" i="3" s="1"/>
  <c r="G39" i="2"/>
  <c r="G49" i="2" s="1"/>
  <c r="D39" i="2"/>
  <c r="D49" i="2" s="1"/>
  <c r="F21" i="3"/>
  <c r="J49" i="2"/>
  <c r="G37" i="2"/>
  <c r="G47" i="2" s="1"/>
  <c r="I23" i="3"/>
  <c r="E37" i="2"/>
  <c r="E47" i="2" s="1"/>
  <c r="E38" i="2"/>
  <c r="E48" i="2" s="1"/>
  <c r="I39" i="2"/>
  <c r="I49" i="2" s="1"/>
  <c r="K37" i="2"/>
  <c r="K47" i="2" s="1"/>
  <c r="I37" i="2"/>
  <c r="I47" i="2" s="1"/>
  <c r="I38" i="2"/>
  <c r="I48" i="2" s="1"/>
  <c r="H37" i="2"/>
  <c r="H47" i="2" s="1"/>
  <c r="H38" i="2"/>
  <c r="H48" i="2" s="1"/>
  <c r="J38" i="2"/>
  <c r="J48" i="2" s="1"/>
  <c r="K38" i="2"/>
  <c r="K48" i="2" s="1"/>
  <c r="F37" i="2"/>
  <c r="F47" i="2" s="1"/>
  <c r="F38" i="2"/>
  <c r="F48" i="2" s="1"/>
  <c r="G17" i="3"/>
  <c r="G23" i="3" s="1"/>
  <c r="G38" i="2"/>
  <c r="G48" i="2" s="1"/>
  <c r="E19" i="3"/>
  <c r="E23" i="3" s="1"/>
  <c r="F19" i="3"/>
  <c r="D19" i="3"/>
  <c r="C48" i="2"/>
  <c r="K23" i="3"/>
  <c r="C49" i="2"/>
  <c r="C47" i="2"/>
  <c r="F23" i="3" l="1"/>
  <c r="K24" i="3"/>
  <c r="K26" i="3" s="1"/>
  <c r="F24" i="3"/>
  <c r="F26" i="3" s="1"/>
  <c r="J24" i="3"/>
  <c r="J26" i="3" s="1"/>
  <c r="I24" i="3"/>
  <c r="I26" i="3" s="1"/>
  <c r="D23" i="3"/>
  <c r="D24" i="3" s="1"/>
  <c r="D26" i="3" s="1"/>
  <c r="G24" i="3"/>
  <c r="G26" i="3" s="1"/>
  <c r="H24" i="3"/>
  <c r="H26" i="3" s="1"/>
  <c r="E24" i="3" l="1"/>
  <c r="E26" i="3" s="1"/>
</calcChain>
</file>

<file path=xl/sharedStrings.xml><?xml version="1.0" encoding="utf-8"?>
<sst xmlns="http://schemas.openxmlformats.org/spreadsheetml/2006/main" count="189" uniqueCount="87">
  <si>
    <t>Przychody ze sprzedaży</t>
  </si>
  <si>
    <t>Koszt własny</t>
  </si>
  <si>
    <t>Zysk operacyjny</t>
  </si>
  <si>
    <t>Zysk netto</t>
  </si>
  <si>
    <t>Kapitał własny</t>
  </si>
  <si>
    <t>Zapasy</t>
  </si>
  <si>
    <t>Naleznosci</t>
  </si>
  <si>
    <t>Zobowiązania bieżące</t>
  </si>
  <si>
    <t>Pozycja finansowa</t>
  </si>
  <si>
    <t>Parametry finansowe</t>
  </si>
  <si>
    <t>Należności</t>
  </si>
  <si>
    <t xml:space="preserve">Wskaźnik płynności bieżącej </t>
  </si>
  <si>
    <t>Wskaźnik płynności szybkiej</t>
  </si>
  <si>
    <t>Wskaźnik płynności gotówkowej</t>
  </si>
  <si>
    <t>Wskaźniki finansowe</t>
  </si>
  <si>
    <t>Środki pieniężne</t>
  </si>
  <si>
    <t>Amortyzacja</t>
  </si>
  <si>
    <t>Zmiana poziomu zapasów</t>
  </si>
  <si>
    <t>Zmiana poziomu należności</t>
  </si>
  <si>
    <t>Zmiana poziomu zobowiązań</t>
  </si>
  <si>
    <t>Zmiana poziomu gotówki</t>
  </si>
  <si>
    <t>Parametry/ Wskaźniki finansowe</t>
  </si>
  <si>
    <t>Kapitał obrotowy netto =</t>
  </si>
  <si>
    <t>Zmiana kapitału obrotowego netto</t>
  </si>
  <si>
    <t>Zmiana zapasów</t>
  </si>
  <si>
    <t>Zmiana należności</t>
  </si>
  <si>
    <t xml:space="preserve">Zmiana zobowiązań </t>
  </si>
  <si>
    <t>Zmiana kapitału obrotowego netto =</t>
  </si>
  <si>
    <t>Zmian w stosunku do bazowego</t>
  </si>
  <si>
    <t>Wskaźnik rotacji zapasów</t>
  </si>
  <si>
    <t>Wskaźnik rotacji należności</t>
  </si>
  <si>
    <t>Wskaźnik rotacji zobowiązań</t>
  </si>
  <si>
    <t>Cykl operacyjny</t>
  </si>
  <si>
    <t>Cykl konwersji gotówki</t>
  </si>
  <si>
    <t>PRZYCHODY</t>
  </si>
  <si>
    <t>KOSZTY</t>
  </si>
  <si>
    <t>KOSZTY - Amortyzacja</t>
  </si>
  <si>
    <t>Wynagrodzenia</t>
  </si>
  <si>
    <t>STAN NA KONIEC OKRESU</t>
  </si>
  <si>
    <t>STAN ŚREDNI</t>
  </si>
  <si>
    <t xml:space="preserve">Należności </t>
  </si>
  <si>
    <t>KOSZTY - Amortyzacja - Wynagrodzenia</t>
  </si>
  <si>
    <t>Stan 2017</t>
  </si>
  <si>
    <t>Inny stan</t>
  </si>
  <si>
    <t>Prognoza</t>
  </si>
  <si>
    <t>Przychody</t>
  </si>
  <si>
    <t>Koszty - Amortyzacja - Wynagrodzenia</t>
  </si>
  <si>
    <t>Koszty</t>
  </si>
  <si>
    <t>Wskaźniki rotacji</t>
  </si>
  <si>
    <t>Zmiana kapitału obrotowego netto (średni)</t>
  </si>
  <si>
    <t>Średni kapitał obrotowy netto</t>
  </si>
  <si>
    <t>Kapitał obrotowy netto na koniec okresu</t>
  </si>
  <si>
    <t>Stan na koniec Kapitału obrotowego netto</t>
  </si>
  <si>
    <t>Kapitał obrotowy netto (średni)</t>
  </si>
  <si>
    <t>Zobowiązania długoterminowe</t>
  </si>
  <si>
    <t>Aktywa</t>
  </si>
  <si>
    <t>Pasywa</t>
  </si>
  <si>
    <t>Tabela 1. Wskaźniki płynności finansowej spółki LPP SA w latach 2009-2017</t>
  </si>
  <si>
    <t>Źródło: Opracowanie własne na podstawie sprawozdań finansowych  LPP SA</t>
  </si>
  <si>
    <t>Tabela 2. Zmiany wskaźników płynności finansowej spółki LPP SA w latach 2009-2017 wynikające ze zmiany poszczególnych parametrów</t>
  </si>
  <si>
    <t>Tabela 3. Różnice wskaźników płynności finansowej spółki LPP SA w latach 2009-2017 wynikające ze zmiany poszczególnych parametrów</t>
  </si>
  <si>
    <t>Dokonując zmian procentowych poszczególnych pozycji wskaźnikó płynności sprawdź wielkość zmian we wskaźnikach płynności</t>
  </si>
  <si>
    <t>Zmieniając suwakami w arkuszu "Wskaźniki płynności finansowej" wielkość poszczególnych skłądowych kapitału obrotowego netto zaobserwuj zmiany w kapitale obrotowym netto analizowanego podmiotu</t>
  </si>
  <si>
    <t>Zapasy (tys. zł)</t>
  </si>
  <si>
    <t>Należności (tys. zł)</t>
  </si>
  <si>
    <t>Zobowiązania bieżące (tys. zł)</t>
  </si>
  <si>
    <t>Środki pieniężne (tys. zł)</t>
  </si>
  <si>
    <t>Tabela 4. Zmiany kapitału obrotowego netto LPP SA w latach 2009-2017 (tys. zł)</t>
  </si>
  <si>
    <t>Tabela 5. Wpływ procentowej zmiany poszczególnych składników kapitału obrotowego netto na wielkość kapitału obrotowego netto w spółce LPP SA w latach 2009-2017 (tys. zł)</t>
  </si>
  <si>
    <t>Tabela 7. Składniki kapitału obrotowego netto  LPP SA w latach 2009-2017według stanów średnich  (tys.zł)</t>
  </si>
  <si>
    <t>Tabela 6. Składniki kapitału obrotowego netto LPP SA w latach 2009-2017 według stanu na koniec roku (tys.zł)</t>
  </si>
  <si>
    <t>Tabela 8. Wskaźniki rotacji poszczegónych składników kapitału obrotowego netto obliczane na podstawie przychodów ze sprzedaży dla LPP SA (dni)</t>
  </si>
  <si>
    <t>Tabela 9. Wskaźniki rotacji poszczegónych składników kapitału obrotowego netto obliczane na podstawie przychodów ze sprzedaży dla LPP SA wyznaczone w oparciu o stany średnie (dni)</t>
  </si>
  <si>
    <t>Tabela 11. Wskaźniki rotacji poszczegónych składników kapitału obrotowego netto obliczane na podstawie kosztów dla LPP SA wyznaczone w oparciu o stany średnie (dni)</t>
  </si>
  <si>
    <t>Tabela 10. Wskaźniki rotacji poszczegónych składników kapitału obrotowego netto obliczane na podstawie kosztów dla LPP SA (dni)</t>
  </si>
  <si>
    <t>Tabela 12. Wskaźniki rotacji poszczegónych składników kapitału obrotowego netto obliczane na podstawie kosztów bez amortyzacji  dla LPP SA (dni)</t>
  </si>
  <si>
    <t>Tabela 13. Wskaźniki rotacji poszczegónych składników kapitału obrotowego netto obliczane na podstawie kosztów bez amortyzacji według stanów średnich  dla LPP SA (dni)</t>
  </si>
  <si>
    <t>Tabela 14. Wskaźniki rotacji poszczegónych składników kapitału obrotowego netto obliczane na podstawie kosztów bez amortyzacji i wynagrodzeń  dla LPP SA (dni)</t>
  </si>
  <si>
    <t>Tabela 15. Wskaźniki rotacji poszczegónych składników kapitału obrotowego netto obliczane na podstawie kosztów bez amortyzacji i wynagrodzeń  wyliczanie według stanów średnich dla LPP SA (dni)</t>
  </si>
  <si>
    <t>Dokonaj analizy wskaźnikó rotacji i cyklów konwersji gotówki wyznaczanych w oparciu o różne założenia przedstawione w tabelach 8 -15</t>
  </si>
  <si>
    <t>Zdecyduj, która z metod pokazuje inforamcje najbardziej bliskie rzeczywistości</t>
  </si>
  <si>
    <t>s</t>
  </si>
  <si>
    <t xml:space="preserve">Tabela 18. </t>
  </si>
  <si>
    <t>Tabela 16. Kapitał obrotowy netto spółki LPP SA w latach 2009 - 2017 stany średnie (tys.zł)</t>
  </si>
  <si>
    <t>Tabela 17. Kapitał obrotowy netto spółki LPP SA w latach 2009 - 2017 stan na koniec okresu (tys.zł)</t>
  </si>
  <si>
    <t>Tabela 19. Prognoza wielkości kapitału obrotowego netto spółki LPP SA na rok 2018 na podstawie danych z lat 2009-2017 (tys zł) uwzględniająca wzrost przychodów lub kosztów</t>
  </si>
  <si>
    <t>Tabela 1. Podstawowe dane finansowe spółki LPP SA w latach 2009-2018 (tys.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</si>
</sst>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/>
    <xf numFmtId="9" fontId="0" fillId="0" borderId="1" xfId="2" applyFont="1" applyBorder="1"/>
    <xf numFmtId="4" fontId="0" fillId="0" borderId="1" xfId="0" applyNumberFormat="1" applyBorder="1"/>
    <xf numFmtId="165" fontId="0" fillId="0" borderId="1" xfId="1" applyNumberFormat="1" applyFont="1" applyBorder="1"/>
    <xf numFmtId="0" fontId="2" fillId="0" borderId="1" xfId="1" applyNumberFormat="1" applyFont="1" applyBorder="1" applyAlignment="1">
      <alignment horizontal="center"/>
    </xf>
    <xf numFmtId="1" fontId="0" fillId="0" borderId="1" xfId="0" applyNumberFormat="1" applyBorder="1"/>
    <xf numFmtId="0" fontId="2" fillId="2" borderId="0" xfId="0" applyFont="1" applyFill="1"/>
    <xf numFmtId="1" fontId="0" fillId="3" borderId="1" xfId="0" applyNumberFormat="1" applyFill="1" applyBorder="1"/>
    <xf numFmtId="1" fontId="0" fillId="4" borderId="1" xfId="0" applyNumberFormat="1" applyFill="1" applyBorder="1"/>
    <xf numFmtId="1" fontId="0" fillId="5" borderId="1" xfId="0" applyNumberFormat="1" applyFill="1" applyBorder="1"/>
    <xf numFmtId="1" fontId="0" fillId="6" borderId="1" xfId="0" applyNumberFormat="1" applyFill="1" applyBorder="1"/>
    <xf numFmtId="1" fontId="3" fillId="7" borderId="1" xfId="0" applyNumberFormat="1" applyFont="1" applyFill="1" applyBorder="1"/>
    <xf numFmtId="0" fontId="0" fillId="0" borderId="0" xfId="0" applyBorder="1"/>
    <xf numFmtId="1" fontId="0" fillId="0" borderId="0" xfId="0" applyNumberFormat="1" applyBorder="1"/>
    <xf numFmtId="9" fontId="0" fillId="0" borderId="0" xfId="2" applyFont="1" applyBorder="1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/>
    </xf>
    <xf numFmtId="0" fontId="0" fillId="5" borderId="1" xfId="0" applyFill="1" applyBorder="1"/>
    <xf numFmtId="3" fontId="0" fillId="5" borderId="1" xfId="0" applyNumberFormat="1" applyFill="1" applyBorder="1"/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4" fontId="0" fillId="0" borderId="0" xfId="0" applyNumberFormat="1" applyBorder="1"/>
    <xf numFmtId="0" fontId="4" fillId="0" borderId="2" xfId="0" applyFont="1" applyFill="1" applyBorder="1"/>
    <xf numFmtId="0" fontId="5" fillId="0" borderId="0" xfId="0" applyFont="1" applyBorder="1"/>
    <xf numFmtId="0" fontId="4" fillId="0" borderId="0" xfId="0" applyFont="1" applyFill="1" applyBorder="1"/>
    <xf numFmtId="0" fontId="5" fillId="0" borderId="0" xfId="0" applyFont="1" applyFill="1" applyBorder="1"/>
    <xf numFmtId="9" fontId="2" fillId="8" borderId="1" xfId="0" applyNumberFormat="1" applyFont="1" applyFill="1" applyBorder="1"/>
    <xf numFmtId="3" fontId="0" fillId="0" borderId="0" xfId="0" applyNumberFormat="1" applyBorder="1"/>
    <xf numFmtId="0" fontId="5" fillId="0" borderId="0" xfId="0" applyFont="1"/>
    <xf numFmtId="0" fontId="2" fillId="0" borderId="0" xfId="1" applyNumberFormat="1" applyFont="1" applyBorder="1" applyAlignment="1">
      <alignment horizontal="center"/>
    </xf>
    <xf numFmtId="1" fontId="0" fillId="0" borderId="0" xfId="0" applyNumberFormat="1" applyFill="1" applyBorder="1"/>
    <xf numFmtId="0" fontId="0" fillId="0" borderId="0" xfId="0" applyFill="1"/>
    <xf numFmtId="0" fontId="2" fillId="0" borderId="0" xfId="1" applyNumberFormat="1" applyFont="1" applyFill="1" applyBorder="1" applyAlignment="1">
      <alignment horizontal="center"/>
    </xf>
    <xf numFmtId="1" fontId="3" fillId="0" borderId="0" xfId="0" applyNumberFormat="1" applyFont="1" applyFill="1" applyBorder="1"/>
    <xf numFmtId="0" fontId="0" fillId="0" borderId="0" xfId="0" applyFill="1" applyBorder="1"/>
    <xf numFmtId="3" fontId="0" fillId="0" borderId="3" xfId="0" applyNumberFormat="1" applyBorder="1"/>
    <xf numFmtId="3" fontId="0" fillId="0" borderId="1" xfId="0" applyNumberFormat="1" applyFill="1" applyBorder="1"/>
    <xf numFmtId="0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Scroll" dx="26" fmlaLink="$A$21" horiz="1" max="200" page="10" val="102"/>
</file>

<file path=xl/ctrlProps/ctrlProp2.xml><?xml version="1.0" encoding="utf-8"?>
<formControlPr xmlns="http://schemas.microsoft.com/office/spreadsheetml/2009/9/main" objectType="Scroll" dx="26" fmlaLink="$A$25" horiz="1" max="200" min="20" page="10" val="101"/>
</file>

<file path=xl/ctrlProps/ctrlProp3.xml><?xml version="1.0" encoding="utf-8"?>
<formControlPr xmlns="http://schemas.microsoft.com/office/spreadsheetml/2009/9/main" objectType="Scroll" dx="26" fmlaLink="$A$17" horiz="1" max="200" page="10" val="100"/>
</file>

<file path=xl/ctrlProps/ctrlProp4.xml><?xml version="1.0" encoding="utf-8"?>
<formControlPr xmlns="http://schemas.microsoft.com/office/spreadsheetml/2009/9/main" objectType="Scroll" dx="26" fmlaLink="$A$29" horiz="1" max="200" min="20" page="10" val="100"/>
</file>

<file path=xl/ctrlProps/ctrlProp5.xml><?xml version="1.0" encoding="utf-8"?>
<formControlPr xmlns="http://schemas.microsoft.com/office/spreadsheetml/2009/9/main" objectType="Scroll" dx="26" fmlaLink="$C$35" horiz="1" max="200" page="10" val="149"/>
</file>

<file path=xl/ctrlProps/ctrlProp6.xml><?xml version="1.0" encoding="utf-8"?>
<formControlPr xmlns="http://schemas.microsoft.com/office/spreadsheetml/2009/9/main" objectType="Scroll" dx="26" fmlaLink="$C$37" horiz="1" max="200" page="10" val="112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47625</xdr:rowOff>
        </xdr:from>
        <xdr:to>
          <xdr:col>1</xdr:col>
          <xdr:colOff>762000</xdr:colOff>
          <xdr:row>22</xdr:row>
          <xdr:rowOff>19050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57150</xdr:rowOff>
        </xdr:from>
        <xdr:to>
          <xdr:col>1</xdr:col>
          <xdr:colOff>752475</xdr:colOff>
          <xdr:row>26</xdr:row>
          <xdr:rowOff>28575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28575</xdr:rowOff>
        </xdr:from>
        <xdr:to>
          <xdr:col>1</xdr:col>
          <xdr:colOff>752475</xdr:colOff>
          <xdr:row>18</xdr:row>
          <xdr:rowOff>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85725</xdr:rowOff>
        </xdr:from>
        <xdr:to>
          <xdr:col>1</xdr:col>
          <xdr:colOff>723900</xdr:colOff>
          <xdr:row>30</xdr:row>
          <xdr:rowOff>57150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1495425</xdr:colOff>
          <xdr:row>33</xdr:row>
          <xdr:rowOff>180975</xdr:rowOff>
        </xdr:from>
        <xdr:to>
          <xdr:col>1</xdr:col>
          <xdr:colOff>2219325</xdr:colOff>
          <xdr:row>35</xdr:row>
          <xdr:rowOff>152400</xdr:rowOff>
        </xdr:to>
        <xdr:sp macro="" textlink="">
          <xdr:nvSpPr>
            <xdr:cNvPr id="5121" name="Scroll Bar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1476375</xdr:colOff>
          <xdr:row>36</xdr:row>
          <xdr:rowOff>0</xdr:rowOff>
        </xdr:from>
        <xdr:to>
          <xdr:col>1</xdr:col>
          <xdr:colOff>2200275</xdr:colOff>
          <xdr:row>37</xdr:row>
          <xdr:rowOff>161925</xdr:rowOff>
        </xdr:to>
        <xdr:sp macro="" textlink="">
          <xdr:nvSpPr>
            <xdr:cNvPr id="5122" name="Scroll Bar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0"/>
  <sheetViews>
    <sheetView tabSelected="1" workbookViewId="0">
      <selection activeCell="A26" sqref="A26"/>
    </sheetView>
  </sheetViews>
  <sheetFormatPr defaultRowHeight="15" x14ac:dyDescent="0.25"/>
  <cols>
    <col min="2" max="2" width="26.42578125" bestFit="1" customWidth="1"/>
    <col min="3" max="4" width="8.85546875" bestFit="1" customWidth="1"/>
  </cols>
  <sheetData>
    <row r="2" spans="2:12" x14ac:dyDescent="0.25">
      <c r="B2" s="1" t="s">
        <v>86</v>
      </c>
    </row>
    <row r="4" spans="2:12" s="6" customFormat="1" ht="14.45" x14ac:dyDescent="0.3">
      <c r="B4" s="26" t="s">
        <v>8</v>
      </c>
      <c r="C4" s="27">
        <v>2009</v>
      </c>
      <c r="D4" s="27">
        <v>2010</v>
      </c>
      <c r="E4" s="27">
        <v>2011</v>
      </c>
      <c r="F4" s="27">
        <v>2012</v>
      </c>
      <c r="G4" s="27">
        <v>2013</v>
      </c>
      <c r="H4" s="27">
        <v>2014</v>
      </c>
      <c r="I4" s="27">
        <v>2015</v>
      </c>
      <c r="J4" s="27">
        <v>2016</v>
      </c>
      <c r="K4" s="27">
        <v>2017</v>
      </c>
      <c r="L4" s="5">
        <v>2018</v>
      </c>
    </row>
    <row r="5" spans="2:12" x14ac:dyDescent="0.25">
      <c r="B5" s="4" t="s">
        <v>0</v>
      </c>
      <c r="C5" s="4">
        <v>1610798</v>
      </c>
      <c r="D5" s="4">
        <v>1841665</v>
      </c>
      <c r="E5" s="4">
        <v>2170410</v>
      </c>
      <c r="F5" s="4">
        <v>2765275</v>
      </c>
      <c r="G5" s="4">
        <v>3493356</v>
      </c>
      <c r="H5" s="4">
        <v>4000397</v>
      </c>
      <c r="I5" s="4">
        <v>4335753</v>
      </c>
      <c r="J5" s="4">
        <v>4740877</v>
      </c>
      <c r="K5" s="4">
        <v>5623900</v>
      </c>
      <c r="L5" s="43">
        <v>6368237</v>
      </c>
    </row>
    <row r="6" spans="2:12" x14ac:dyDescent="0.25">
      <c r="B6" s="4" t="s">
        <v>1</v>
      </c>
      <c r="C6" s="4">
        <v>845839</v>
      </c>
      <c r="D6" s="4">
        <v>946694</v>
      </c>
      <c r="E6" s="4">
        <v>1090152</v>
      </c>
      <c r="F6" s="4">
        <v>1432240</v>
      </c>
      <c r="G6" s="4">
        <v>1783954</v>
      </c>
      <c r="H6" s="4">
        <v>2073351</v>
      </c>
      <c r="I6" s="4">
        <v>2522715</v>
      </c>
      <c r="J6" s="4">
        <v>2971505</v>
      </c>
      <c r="K6" s="4">
        <v>3327595</v>
      </c>
      <c r="L6" s="43">
        <v>3623169</v>
      </c>
    </row>
    <row r="7" spans="2:12" ht="14.45" x14ac:dyDescent="0.3">
      <c r="B7" s="4" t="s">
        <v>2</v>
      </c>
      <c r="C7" s="4">
        <v>195214</v>
      </c>
      <c r="D7" s="4">
        <v>174285</v>
      </c>
      <c r="E7" s="4">
        <v>279145</v>
      </c>
      <c r="F7" s="4">
        <v>403493</v>
      </c>
      <c r="G7" s="4">
        <v>514507</v>
      </c>
      <c r="H7" s="4">
        <v>477389</v>
      </c>
      <c r="I7" s="4">
        <v>248455</v>
      </c>
      <c r="J7" s="4">
        <v>5662</v>
      </c>
      <c r="K7" s="4">
        <v>231639</v>
      </c>
      <c r="L7" s="43">
        <v>382942</v>
      </c>
    </row>
    <row r="8" spans="2:12" ht="14.45" x14ac:dyDescent="0.3">
      <c r="B8" s="4" t="s">
        <v>3</v>
      </c>
      <c r="C8" s="4">
        <v>122887</v>
      </c>
      <c r="D8" s="4">
        <v>148249</v>
      </c>
      <c r="E8" s="4">
        <v>234991</v>
      </c>
      <c r="F8" s="4">
        <v>348833</v>
      </c>
      <c r="G8" s="4">
        <v>394575</v>
      </c>
      <c r="H8" s="4">
        <v>283896</v>
      </c>
      <c r="I8" s="4">
        <v>344347</v>
      </c>
      <c r="J8" s="4">
        <v>280071</v>
      </c>
      <c r="K8" s="4">
        <v>493427</v>
      </c>
      <c r="L8" s="43">
        <v>592295</v>
      </c>
    </row>
    <row r="9" spans="2:12" ht="14.45" x14ac:dyDescent="0.3">
      <c r="B9" s="4" t="s">
        <v>5</v>
      </c>
      <c r="C9" s="4">
        <v>695294</v>
      </c>
      <c r="D9" s="4">
        <v>773479</v>
      </c>
      <c r="E9" s="4">
        <v>475080</v>
      </c>
      <c r="F9" s="4">
        <v>491516</v>
      </c>
      <c r="G9" s="4">
        <v>570997</v>
      </c>
      <c r="H9" s="4">
        <v>712315</v>
      </c>
      <c r="I9" s="4">
        <v>954211</v>
      </c>
      <c r="J9" s="4">
        <v>832586</v>
      </c>
      <c r="K9" s="4">
        <v>1102972</v>
      </c>
      <c r="L9" s="43">
        <v>1164410</v>
      </c>
    </row>
    <row r="10" spans="2:12" ht="14.45" x14ac:dyDescent="0.3">
      <c r="B10" s="4" t="s">
        <v>6</v>
      </c>
      <c r="C10" s="4">
        <v>245660</v>
      </c>
      <c r="D10" s="4">
        <v>258902</v>
      </c>
      <c r="E10" s="4">
        <v>344260</v>
      </c>
      <c r="F10" s="4">
        <v>475043</v>
      </c>
      <c r="G10" s="4">
        <v>800158</v>
      </c>
      <c r="H10" s="4">
        <v>466834</v>
      </c>
      <c r="I10" s="4">
        <v>417435</v>
      </c>
      <c r="J10" s="4">
        <v>294500</v>
      </c>
      <c r="K10" s="4">
        <v>313210</v>
      </c>
      <c r="L10" s="43">
        <v>123134</v>
      </c>
    </row>
    <row r="11" spans="2:12" x14ac:dyDescent="0.25">
      <c r="B11" s="4" t="s">
        <v>15</v>
      </c>
      <c r="C11" s="4">
        <v>161992</v>
      </c>
      <c r="D11" s="4">
        <v>96470</v>
      </c>
      <c r="E11" s="4">
        <v>116996</v>
      </c>
      <c r="F11" s="4">
        <v>159393</v>
      </c>
      <c r="G11" s="4">
        <v>149355</v>
      </c>
      <c r="H11" s="4">
        <v>183529</v>
      </c>
      <c r="I11" s="4">
        <v>224447</v>
      </c>
      <c r="J11" s="4">
        <v>365753</v>
      </c>
      <c r="K11" s="4">
        <v>514790</v>
      </c>
      <c r="L11" s="43">
        <v>664853</v>
      </c>
    </row>
    <row r="12" spans="2:12" ht="14.45" x14ac:dyDescent="0.3">
      <c r="B12" s="4" t="s">
        <v>55</v>
      </c>
      <c r="C12" s="4">
        <v>1361603</v>
      </c>
      <c r="D12" s="4">
        <v>1426369</v>
      </c>
      <c r="E12" s="4">
        <v>1613868</v>
      </c>
      <c r="F12" s="4">
        <v>1932222</v>
      </c>
      <c r="G12" s="4">
        <v>2491570</v>
      </c>
      <c r="H12" s="4">
        <v>2933726</v>
      </c>
      <c r="I12" s="4">
        <v>3565196</v>
      </c>
      <c r="J12" s="4">
        <v>3677932</v>
      </c>
      <c r="K12" s="4">
        <v>4330828</v>
      </c>
      <c r="L12" s="43">
        <v>5143266</v>
      </c>
    </row>
    <row r="13" spans="2:12" x14ac:dyDescent="0.25">
      <c r="B13" s="4" t="s">
        <v>4</v>
      </c>
      <c r="C13" s="4">
        <v>692521</v>
      </c>
      <c r="D13" s="4">
        <v>754944</v>
      </c>
      <c r="E13" s="4">
        <v>897697</v>
      </c>
      <c r="F13" s="4">
        <v>1194971</v>
      </c>
      <c r="G13" s="4">
        <v>1444055</v>
      </c>
      <c r="H13" s="4">
        <v>1567653</v>
      </c>
      <c r="I13" s="4">
        <v>1856386</v>
      </c>
      <c r="J13" s="4">
        <v>2092846</v>
      </c>
      <c r="K13" s="4">
        <v>2547402</v>
      </c>
      <c r="L13" s="43">
        <v>3075142</v>
      </c>
    </row>
    <row r="14" spans="2:12" x14ac:dyDescent="0.25">
      <c r="B14" s="4" t="s">
        <v>54</v>
      </c>
      <c r="C14" s="4">
        <v>347725</v>
      </c>
      <c r="D14" s="4">
        <v>281231</v>
      </c>
      <c r="E14" s="4">
        <v>89356</v>
      </c>
      <c r="F14" s="4">
        <v>130980</v>
      </c>
      <c r="G14" s="4">
        <v>192331</v>
      </c>
      <c r="H14" s="4">
        <v>210714</v>
      </c>
      <c r="I14" s="4">
        <v>344083</v>
      </c>
      <c r="J14" s="4">
        <v>267254</v>
      </c>
      <c r="K14" s="4">
        <v>233140</v>
      </c>
      <c r="L14" s="43">
        <v>237490</v>
      </c>
    </row>
    <row r="15" spans="2:12" x14ac:dyDescent="0.25">
      <c r="B15" s="4" t="s">
        <v>7</v>
      </c>
      <c r="C15" s="4">
        <v>206610</v>
      </c>
      <c r="D15" s="4">
        <v>293322</v>
      </c>
      <c r="E15" s="4">
        <v>359443</v>
      </c>
      <c r="F15" s="4">
        <v>444550</v>
      </c>
      <c r="G15" s="4">
        <v>520922</v>
      </c>
      <c r="H15" s="4">
        <v>572153</v>
      </c>
      <c r="I15" s="4">
        <v>654814</v>
      </c>
      <c r="J15" s="4">
        <v>792684</v>
      </c>
      <c r="K15" s="4">
        <v>1215568</v>
      </c>
      <c r="L15" s="43">
        <v>1363900</v>
      </c>
    </row>
    <row r="16" spans="2:12" ht="14.45" x14ac:dyDescent="0.3">
      <c r="B16" s="4" t="s">
        <v>56</v>
      </c>
      <c r="C16" s="4">
        <f>+C12</f>
        <v>1361603</v>
      </c>
      <c r="D16" s="4">
        <f>+D12</f>
        <v>1426369</v>
      </c>
      <c r="E16" s="4">
        <f>+E12</f>
        <v>1613868</v>
      </c>
      <c r="F16" s="4">
        <f>+F12</f>
        <v>1932222</v>
      </c>
      <c r="G16" s="4">
        <f t="shared" ref="G16" si="0">+G12</f>
        <v>2491570</v>
      </c>
      <c r="H16" s="4">
        <f>+H12</f>
        <v>2933726</v>
      </c>
      <c r="I16" s="4">
        <f>+I12</f>
        <v>3565196</v>
      </c>
      <c r="J16" s="4">
        <f>+J12</f>
        <v>3677932</v>
      </c>
      <c r="K16" s="4">
        <f>+K12</f>
        <v>4330828</v>
      </c>
      <c r="L16" s="43">
        <v>5143266</v>
      </c>
    </row>
    <row r="18" spans="2:12" ht="14.45" x14ac:dyDescent="0.3">
      <c r="B18" s="7" t="s">
        <v>16</v>
      </c>
      <c r="C18" s="4">
        <v>54074</v>
      </c>
      <c r="D18" s="4">
        <v>96095</v>
      </c>
      <c r="E18" s="4">
        <v>95459</v>
      </c>
      <c r="F18" s="4">
        <v>108997</v>
      </c>
      <c r="G18" s="4">
        <v>148188</v>
      </c>
      <c r="H18" s="4">
        <v>193670</v>
      </c>
      <c r="I18" s="4">
        <v>223555</v>
      </c>
      <c r="J18" s="4">
        <v>267381</v>
      </c>
      <c r="K18" s="4">
        <v>293429</v>
      </c>
      <c r="L18" s="44">
        <v>182032</v>
      </c>
    </row>
    <row r="19" spans="2:12" ht="14.45" x14ac:dyDescent="0.3">
      <c r="B19" s="7" t="s">
        <v>37</v>
      </c>
      <c r="C19" s="4">
        <f>101567+19875</f>
        <v>121442</v>
      </c>
      <c r="D19" s="4">
        <f>102622+23707</f>
        <v>126329</v>
      </c>
      <c r="E19" s="4">
        <f>129729+29697</f>
        <v>159426</v>
      </c>
      <c r="F19" s="4">
        <f>144458+29251</f>
        <v>173709</v>
      </c>
      <c r="G19" s="4">
        <f>172458+36750</f>
        <v>209208</v>
      </c>
      <c r="H19" s="4">
        <f>227458+42750</f>
        <v>270208</v>
      </c>
      <c r="I19" s="4">
        <f>297352+56820</f>
        <v>354172</v>
      </c>
      <c r="J19" s="4">
        <f>388993+76367</f>
        <v>465360</v>
      </c>
      <c r="K19" s="4">
        <f>581109+126955</f>
        <v>708064</v>
      </c>
      <c r="L19" s="4">
        <f>+K19*1.21</f>
        <v>856757.44</v>
      </c>
    </row>
    <row r="20" spans="2:12" x14ac:dyDescent="0.25">
      <c r="B20" s="30" t="s">
        <v>58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50"/>
  <sheetViews>
    <sheetView workbookViewId="0">
      <selection activeCell="B12" sqref="B12"/>
    </sheetView>
  </sheetViews>
  <sheetFormatPr defaultRowHeight="15" x14ac:dyDescent="0.25"/>
  <cols>
    <col min="2" max="2" width="30.28515625" bestFit="1" customWidth="1"/>
  </cols>
  <sheetData>
    <row r="2" spans="2:11" x14ac:dyDescent="0.25">
      <c r="B2" s="1" t="s">
        <v>57</v>
      </c>
    </row>
    <row r="4" spans="2:11" x14ac:dyDescent="0.25">
      <c r="B4" s="5" t="s">
        <v>21</v>
      </c>
      <c r="C4" s="5">
        <v>2009</v>
      </c>
      <c r="D4" s="5">
        <v>2010</v>
      </c>
      <c r="E4" s="5">
        <v>2011</v>
      </c>
      <c r="F4" s="5">
        <v>2012</v>
      </c>
      <c r="G4" s="5">
        <v>2013</v>
      </c>
      <c r="H4" s="5">
        <v>2014</v>
      </c>
      <c r="I4" s="5">
        <v>2015</v>
      </c>
      <c r="J4" s="5">
        <v>2016</v>
      </c>
      <c r="K4" s="5">
        <v>2017</v>
      </c>
    </row>
    <row r="5" spans="2:11" x14ac:dyDescent="0.25">
      <c r="B5" s="3" t="s">
        <v>63</v>
      </c>
      <c r="C5" s="4">
        <f>'Dane wyjściowe'!C9</f>
        <v>695294</v>
      </c>
      <c r="D5" s="4">
        <f>'Dane wyjściowe'!D9</f>
        <v>773479</v>
      </c>
      <c r="E5" s="4">
        <f>'Dane wyjściowe'!E9</f>
        <v>475080</v>
      </c>
      <c r="F5" s="4">
        <f>'Dane wyjściowe'!F9</f>
        <v>491516</v>
      </c>
      <c r="G5" s="4">
        <f>'Dane wyjściowe'!G9</f>
        <v>570997</v>
      </c>
      <c r="H5" s="4">
        <f>'Dane wyjściowe'!H9</f>
        <v>712315</v>
      </c>
      <c r="I5" s="4">
        <f>'Dane wyjściowe'!I9</f>
        <v>954211</v>
      </c>
      <c r="J5" s="4">
        <f>'Dane wyjściowe'!J9</f>
        <v>832586</v>
      </c>
      <c r="K5" s="4">
        <f>'Dane wyjściowe'!K9</f>
        <v>1102972</v>
      </c>
    </row>
    <row r="6" spans="2:11" x14ac:dyDescent="0.25">
      <c r="B6" s="3" t="s">
        <v>64</v>
      </c>
      <c r="C6" s="4">
        <f>'Dane wyjściowe'!C10</f>
        <v>245660</v>
      </c>
      <c r="D6" s="4">
        <f>'Dane wyjściowe'!D10</f>
        <v>258902</v>
      </c>
      <c r="E6" s="4">
        <f>'Dane wyjściowe'!E10</f>
        <v>344260</v>
      </c>
      <c r="F6" s="4">
        <f>'Dane wyjściowe'!F10</f>
        <v>475043</v>
      </c>
      <c r="G6" s="4">
        <f>'Dane wyjściowe'!G10</f>
        <v>800158</v>
      </c>
      <c r="H6" s="4">
        <f>'Dane wyjściowe'!H10</f>
        <v>466834</v>
      </c>
      <c r="I6" s="4">
        <f>'Dane wyjściowe'!I10</f>
        <v>417435</v>
      </c>
      <c r="J6" s="4">
        <f>'Dane wyjściowe'!J10</f>
        <v>294500</v>
      </c>
      <c r="K6" s="4">
        <f>'Dane wyjściowe'!K10</f>
        <v>313210</v>
      </c>
    </row>
    <row r="7" spans="2:11" x14ac:dyDescent="0.25">
      <c r="B7" s="3" t="s">
        <v>65</v>
      </c>
      <c r="C7" s="4">
        <f>'Dane wyjściowe'!C15</f>
        <v>206610</v>
      </c>
      <c r="D7" s="4">
        <f>'Dane wyjściowe'!D15</f>
        <v>293322</v>
      </c>
      <c r="E7" s="4">
        <f>'Dane wyjściowe'!E15</f>
        <v>359443</v>
      </c>
      <c r="F7" s="4">
        <f>'Dane wyjściowe'!F15</f>
        <v>444550</v>
      </c>
      <c r="G7" s="4">
        <f>'Dane wyjściowe'!G15</f>
        <v>520922</v>
      </c>
      <c r="H7" s="4">
        <f>'Dane wyjściowe'!H15</f>
        <v>572153</v>
      </c>
      <c r="I7" s="4">
        <f>'Dane wyjściowe'!I15</f>
        <v>654814</v>
      </c>
      <c r="J7" s="4">
        <f>'Dane wyjściowe'!J15</f>
        <v>792684</v>
      </c>
      <c r="K7" s="4">
        <f>'Dane wyjściowe'!K15</f>
        <v>1215568</v>
      </c>
    </row>
    <row r="8" spans="2:11" x14ac:dyDescent="0.25">
      <c r="B8" s="3" t="s">
        <v>66</v>
      </c>
      <c r="C8" s="4">
        <f>'Dane wyjściowe'!C11</f>
        <v>161992</v>
      </c>
      <c r="D8" s="4">
        <f>'Dane wyjściowe'!D11</f>
        <v>96470</v>
      </c>
      <c r="E8" s="4">
        <f>'Dane wyjściowe'!E11</f>
        <v>116996</v>
      </c>
      <c r="F8" s="4">
        <f>'Dane wyjściowe'!F11</f>
        <v>159393</v>
      </c>
      <c r="G8" s="4">
        <f>'Dane wyjściowe'!G11</f>
        <v>149355</v>
      </c>
      <c r="H8" s="4">
        <f>'Dane wyjściowe'!H11</f>
        <v>183529</v>
      </c>
      <c r="I8" s="4">
        <f>'Dane wyjściowe'!I11</f>
        <v>224447</v>
      </c>
      <c r="J8" s="4">
        <f>'Dane wyjściowe'!J11</f>
        <v>365753</v>
      </c>
      <c r="K8" s="4">
        <f>'Dane wyjściowe'!K11</f>
        <v>514790</v>
      </c>
    </row>
    <row r="9" spans="2:11" x14ac:dyDescent="0.25">
      <c r="B9" s="3" t="s">
        <v>11</v>
      </c>
      <c r="C9" s="9">
        <f>(C5+C6+'Dane wyjściowe'!C11)/C7</f>
        <v>5.3382992110740037</v>
      </c>
      <c r="D9" s="9">
        <f>(D5+D6+'Dane wyjściowe'!D11)/D7</f>
        <v>3.848504374032633</v>
      </c>
      <c r="E9" s="9">
        <f>(E5+E6+'Dane wyjściowe'!E11)/E7</f>
        <v>2.604963791199161</v>
      </c>
      <c r="F9" s="9">
        <f>(F5+F6+'Dane wyjściowe'!F11)/F7</f>
        <v>2.5327904622652122</v>
      </c>
      <c r="G9" s="9">
        <f>(G5+G6+'Dane wyjściowe'!G11)/G7</f>
        <v>2.9188822894790389</v>
      </c>
      <c r="H9" s="9">
        <f>(H5+H6+'Dane wyjściowe'!H11)/H7</f>
        <v>2.3816671414813868</v>
      </c>
      <c r="I9" s="9">
        <f>(I5+I6+'Dane wyjściowe'!I11)/I7</f>
        <v>2.4374753746865521</v>
      </c>
      <c r="J9" s="9">
        <f>(J5+J6+'Dane wyjściowe'!J11)/J7</f>
        <v>1.8832712657250557</v>
      </c>
      <c r="K9" s="9">
        <f>(K5+K6+'Dane wyjściowe'!K11)/K7</f>
        <v>1.5885347426059258</v>
      </c>
    </row>
    <row r="10" spans="2:11" x14ac:dyDescent="0.25">
      <c r="B10" s="3" t="s">
        <v>12</v>
      </c>
      <c r="C10" s="9">
        <f t="shared" ref="C10:K10" si="0">(C6+C8)/C7</f>
        <v>1.9730506751851313</v>
      </c>
      <c r="D10" s="9">
        <f t="shared" si="0"/>
        <v>1.2115422641329323</v>
      </c>
      <c r="E10" s="9">
        <f t="shared" si="0"/>
        <v>1.2832521428988741</v>
      </c>
      <c r="F10" s="9">
        <f t="shared" si="0"/>
        <v>1.4271420537622315</v>
      </c>
      <c r="G10" s="9">
        <f t="shared" si="0"/>
        <v>1.8227546542476609</v>
      </c>
      <c r="H10" s="9">
        <f t="shared" si="0"/>
        <v>1.1366942059204443</v>
      </c>
      <c r="I10" s="9">
        <f t="shared" si="0"/>
        <v>0.98025088040267927</v>
      </c>
      <c r="J10" s="9">
        <f t="shared" si="0"/>
        <v>0.83293342618243837</v>
      </c>
      <c r="K10" s="9">
        <f t="shared" si="0"/>
        <v>0.68116304476590372</v>
      </c>
    </row>
    <row r="11" spans="2:11" x14ac:dyDescent="0.25">
      <c r="B11" s="3" t="s">
        <v>13</v>
      </c>
      <c r="C11" s="9">
        <f t="shared" ref="C11:K11" si="1">C8/C7</f>
        <v>0.78404723875901461</v>
      </c>
      <c r="D11" s="9">
        <f t="shared" si="1"/>
        <v>0.32888770702504416</v>
      </c>
      <c r="E11" s="9">
        <f t="shared" si="1"/>
        <v>0.32549249811513925</v>
      </c>
      <c r="F11" s="9">
        <f t="shared" si="1"/>
        <v>0.35854909459003487</v>
      </c>
      <c r="G11" s="9">
        <f t="shared" si="1"/>
        <v>0.28671279001462791</v>
      </c>
      <c r="H11" s="9">
        <f t="shared" si="1"/>
        <v>0.3207690949798393</v>
      </c>
      <c r="I11" s="9">
        <f t="shared" si="1"/>
        <v>0.34276451022733173</v>
      </c>
      <c r="J11" s="9">
        <f t="shared" si="1"/>
        <v>0.46141085224376926</v>
      </c>
      <c r="K11" s="9">
        <f t="shared" si="1"/>
        <v>0.42349749253024099</v>
      </c>
    </row>
    <row r="12" spans="2:11" x14ac:dyDescent="0.25">
      <c r="B12" s="30" t="s">
        <v>58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2:11" ht="14.45" x14ac:dyDescent="0.3">
      <c r="B13" s="19"/>
      <c r="C13" s="29"/>
      <c r="D13" s="29"/>
      <c r="E13" s="29"/>
      <c r="F13" s="29"/>
      <c r="G13" s="29"/>
      <c r="H13" s="29"/>
      <c r="I13" s="29"/>
      <c r="J13" s="29"/>
      <c r="K13" s="29"/>
    </row>
    <row r="14" spans="2:11" x14ac:dyDescent="0.25">
      <c r="B14" s="31" t="s">
        <v>61</v>
      </c>
      <c r="C14" s="29"/>
      <c r="D14" s="29"/>
      <c r="E14" s="29"/>
      <c r="F14" s="29"/>
      <c r="G14" s="29"/>
      <c r="H14" s="29"/>
      <c r="I14" s="29"/>
      <c r="J14" s="29"/>
      <c r="K14" s="29"/>
    </row>
    <row r="16" spans="2:11" x14ac:dyDescent="0.25">
      <c r="B16" s="1" t="s">
        <v>17</v>
      </c>
    </row>
    <row r="17" spans="1:11" ht="14.45" x14ac:dyDescent="0.3">
      <c r="A17">
        <v>100</v>
      </c>
      <c r="C17" s="8">
        <f>A17/100</f>
        <v>1</v>
      </c>
      <c r="D17" s="8">
        <f>C17</f>
        <v>1</v>
      </c>
      <c r="E17" s="8">
        <f t="shared" ref="E17:K17" si="2">D17</f>
        <v>1</v>
      </c>
      <c r="F17" s="8">
        <f t="shared" si="2"/>
        <v>1</v>
      </c>
      <c r="G17" s="8">
        <f t="shared" si="2"/>
        <v>1</v>
      </c>
      <c r="H17" s="8">
        <f t="shared" si="2"/>
        <v>1</v>
      </c>
      <c r="I17" s="8">
        <f t="shared" si="2"/>
        <v>1</v>
      </c>
      <c r="J17" s="8">
        <f t="shared" si="2"/>
        <v>1</v>
      </c>
      <c r="K17" s="8">
        <f t="shared" si="2"/>
        <v>1</v>
      </c>
    </row>
    <row r="18" spans="1:11" ht="14.45" x14ac:dyDescent="0.3">
      <c r="C18" s="4">
        <f>+C17*C5</f>
        <v>695294</v>
      </c>
      <c r="D18" s="4">
        <f t="shared" ref="D18:K18" si="3">+D17*D5</f>
        <v>773479</v>
      </c>
      <c r="E18" s="4">
        <f t="shared" si="3"/>
        <v>475080</v>
      </c>
      <c r="F18" s="4">
        <f t="shared" si="3"/>
        <v>491516</v>
      </c>
      <c r="G18" s="4">
        <f t="shared" si="3"/>
        <v>570997</v>
      </c>
      <c r="H18" s="4">
        <f t="shared" si="3"/>
        <v>712315</v>
      </c>
      <c r="I18" s="4">
        <f t="shared" si="3"/>
        <v>954211</v>
      </c>
      <c r="J18" s="4">
        <f t="shared" si="3"/>
        <v>832586</v>
      </c>
      <c r="K18" s="4">
        <f t="shared" si="3"/>
        <v>1102972</v>
      </c>
    </row>
    <row r="20" spans="1:11" x14ac:dyDescent="0.25">
      <c r="B20" s="1" t="s">
        <v>18</v>
      </c>
    </row>
    <row r="21" spans="1:11" ht="14.45" x14ac:dyDescent="0.3">
      <c r="A21">
        <v>102</v>
      </c>
      <c r="C21" s="8">
        <f>A21/100</f>
        <v>1.02</v>
      </c>
      <c r="D21" s="8">
        <f>C21</f>
        <v>1.02</v>
      </c>
      <c r="E21" s="8">
        <f t="shared" ref="E21:K21" si="4">D21</f>
        <v>1.02</v>
      </c>
      <c r="F21" s="8">
        <f t="shared" si="4"/>
        <v>1.02</v>
      </c>
      <c r="G21" s="8">
        <f t="shared" si="4"/>
        <v>1.02</v>
      </c>
      <c r="H21" s="8">
        <f t="shared" si="4"/>
        <v>1.02</v>
      </c>
      <c r="I21" s="8">
        <f t="shared" si="4"/>
        <v>1.02</v>
      </c>
      <c r="J21" s="8">
        <f t="shared" si="4"/>
        <v>1.02</v>
      </c>
      <c r="K21" s="8">
        <f t="shared" si="4"/>
        <v>1.02</v>
      </c>
    </row>
    <row r="22" spans="1:11" ht="14.45" x14ac:dyDescent="0.3">
      <c r="C22" s="4">
        <f>C21*C6</f>
        <v>250573.2</v>
      </c>
      <c r="D22" s="4">
        <f t="shared" ref="D22:K22" si="5">D21*D6</f>
        <v>264080.03999999998</v>
      </c>
      <c r="E22" s="4">
        <f t="shared" si="5"/>
        <v>351145.2</v>
      </c>
      <c r="F22" s="4">
        <f t="shared" si="5"/>
        <v>484543.86</v>
      </c>
      <c r="G22" s="4">
        <f t="shared" si="5"/>
        <v>816161.16</v>
      </c>
      <c r="H22" s="4">
        <f t="shared" si="5"/>
        <v>476170.68</v>
      </c>
      <c r="I22" s="4">
        <f t="shared" si="5"/>
        <v>425783.7</v>
      </c>
      <c r="J22" s="4">
        <f t="shared" si="5"/>
        <v>300390</v>
      </c>
      <c r="K22" s="4">
        <f t="shared" si="5"/>
        <v>319474.2</v>
      </c>
    </row>
    <row r="24" spans="1:11" x14ac:dyDescent="0.25">
      <c r="B24" s="1" t="s">
        <v>19</v>
      </c>
    </row>
    <row r="25" spans="1:11" ht="14.45" x14ac:dyDescent="0.3">
      <c r="A25">
        <v>101</v>
      </c>
      <c r="C25" s="8">
        <f>A25/100</f>
        <v>1.01</v>
      </c>
      <c r="D25" s="8">
        <f>C25</f>
        <v>1.01</v>
      </c>
      <c r="E25" s="8">
        <f t="shared" ref="E25:K25" si="6">D25</f>
        <v>1.01</v>
      </c>
      <c r="F25" s="8">
        <f t="shared" si="6"/>
        <v>1.01</v>
      </c>
      <c r="G25" s="8">
        <f t="shared" si="6"/>
        <v>1.01</v>
      </c>
      <c r="H25" s="8">
        <f t="shared" si="6"/>
        <v>1.01</v>
      </c>
      <c r="I25" s="8">
        <f t="shared" si="6"/>
        <v>1.01</v>
      </c>
      <c r="J25" s="8">
        <f t="shared" si="6"/>
        <v>1.01</v>
      </c>
      <c r="K25" s="8">
        <f t="shared" si="6"/>
        <v>1.01</v>
      </c>
    </row>
    <row r="26" spans="1:11" ht="14.45" x14ac:dyDescent="0.3">
      <c r="C26" s="4">
        <f>C25*C7</f>
        <v>208676.1</v>
      </c>
      <c r="D26" s="4">
        <f t="shared" ref="D26:K26" si="7">D25*D7</f>
        <v>296255.22000000003</v>
      </c>
      <c r="E26" s="4">
        <f t="shared" si="7"/>
        <v>363037.43</v>
      </c>
      <c r="F26" s="4">
        <f t="shared" si="7"/>
        <v>448995.5</v>
      </c>
      <c r="G26" s="4">
        <f t="shared" si="7"/>
        <v>526131.22</v>
      </c>
      <c r="H26" s="4">
        <f t="shared" si="7"/>
        <v>577874.53</v>
      </c>
      <c r="I26" s="4">
        <f t="shared" si="7"/>
        <v>661362.14</v>
      </c>
      <c r="J26" s="4">
        <f t="shared" si="7"/>
        <v>800610.84</v>
      </c>
      <c r="K26" s="4">
        <f t="shared" si="7"/>
        <v>1227723.68</v>
      </c>
    </row>
    <row r="28" spans="1:11" x14ac:dyDescent="0.25">
      <c r="B28" s="1" t="s">
        <v>20</v>
      </c>
    </row>
    <row r="29" spans="1:11" ht="14.45" x14ac:dyDescent="0.3">
      <c r="A29">
        <v>100</v>
      </c>
      <c r="C29" s="8">
        <f>A29/100</f>
        <v>1</v>
      </c>
      <c r="D29" s="8">
        <f>C29</f>
        <v>1</v>
      </c>
      <c r="E29" s="8">
        <f t="shared" ref="E29:K29" si="8">D29</f>
        <v>1</v>
      </c>
      <c r="F29" s="8">
        <f t="shared" si="8"/>
        <v>1</v>
      </c>
      <c r="G29" s="8">
        <f t="shared" si="8"/>
        <v>1</v>
      </c>
      <c r="H29" s="8">
        <f t="shared" si="8"/>
        <v>1</v>
      </c>
      <c r="I29" s="8">
        <f t="shared" si="8"/>
        <v>1</v>
      </c>
      <c r="J29" s="8">
        <f t="shared" si="8"/>
        <v>1</v>
      </c>
      <c r="K29" s="8">
        <f t="shared" si="8"/>
        <v>1</v>
      </c>
    </row>
    <row r="30" spans="1:11" ht="14.45" x14ac:dyDescent="0.3">
      <c r="C30" s="4">
        <f>C29*C8</f>
        <v>161992</v>
      </c>
      <c r="D30" s="4">
        <f t="shared" ref="D30:K30" si="9">D29*D8</f>
        <v>96470</v>
      </c>
      <c r="E30" s="4">
        <f t="shared" si="9"/>
        <v>116996</v>
      </c>
      <c r="F30" s="4">
        <f t="shared" si="9"/>
        <v>159393</v>
      </c>
      <c r="G30" s="4">
        <f t="shared" si="9"/>
        <v>149355</v>
      </c>
      <c r="H30" s="4">
        <f t="shared" si="9"/>
        <v>183529</v>
      </c>
      <c r="I30" s="4">
        <f t="shared" si="9"/>
        <v>224447</v>
      </c>
      <c r="J30" s="4">
        <f t="shared" si="9"/>
        <v>365753</v>
      </c>
      <c r="K30" s="4">
        <f t="shared" si="9"/>
        <v>514790</v>
      </c>
    </row>
    <row r="34" spans="2:11" x14ac:dyDescent="0.25">
      <c r="B34" s="1" t="s">
        <v>59</v>
      </c>
    </row>
    <row r="36" spans="2:11" x14ac:dyDescent="0.25">
      <c r="B36" s="2" t="s">
        <v>14</v>
      </c>
      <c r="C36" s="5">
        <v>2009</v>
      </c>
      <c r="D36" s="5">
        <v>2010</v>
      </c>
      <c r="E36" s="5">
        <v>2011</v>
      </c>
      <c r="F36" s="5">
        <v>2012</v>
      </c>
      <c r="G36" s="5">
        <v>2013</v>
      </c>
      <c r="H36" s="5">
        <v>2014</v>
      </c>
      <c r="I36" s="5">
        <v>2015</v>
      </c>
      <c r="J36" s="5">
        <v>2016</v>
      </c>
      <c r="K36" s="5">
        <v>2017</v>
      </c>
    </row>
    <row r="37" spans="2:11" x14ac:dyDescent="0.25">
      <c r="B37" s="3" t="s">
        <v>11</v>
      </c>
      <c r="C37" s="9">
        <f>(C18+C22+C30)/C26</f>
        <v>5.3089893859430948</v>
      </c>
      <c r="D37" s="9">
        <f t="shared" ref="D37:K37" si="10">(D18+D22+D30)/D26</f>
        <v>3.8278786783908818</v>
      </c>
      <c r="E37" s="9">
        <f t="shared" si="10"/>
        <v>2.5981376080146887</v>
      </c>
      <c r="F37" s="9">
        <f t="shared" si="10"/>
        <v>2.5288735855927285</v>
      </c>
      <c r="G37" s="9">
        <f t="shared" si="10"/>
        <v>2.9203991354096042</v>
      </c>
      <c r="H37" s="9">
        <f t="shared" si="10"/>
        <v>2.3742432115843553</v>
      </c>
      <c r="I37" s="9">
        <f t="shared" si="10"/>
        <v>2.4259654476139199</v>
      </c>
      <c r="J37" s="9">
        <f t="shared" si="10"/>
        <v>1.871981898221613</v>
      </c>
      <c r="K37" s="9">
        <f t="shared" si="10"/>
        <v>1.5779089640105337</v>
      </c>
    </row>
    <row r="38" spans="2:11" x14ac:dyDescent="0.25">
      <c r="B38" s="3" t="s">
        <v>12</v>
      </c>
      <c r="C38" s="9">
        <f>(C22+C30)/C26</f>
        <v>1.9770601424887662</v>
      </c>
      <c r="D38" s="9">
        <f t="shared" ref="D38:K38" si="11">(D22+D30)/D26</f>
        <v>1.2170251042327624</v>
      </c>
      <c r="E38" s="9">
        <f t="shared" si="11"/>
        <v>1.2895122136579691</v>
      </c>
      <c r="F38" s="9">
        <f t="shared" si="11"/>
        <v>1.4341721910353222</v>
      </c>
      <c r="G38" s="9">
        <f t="shared" si="11"/>
        <v>1.8351242490419026</v>
      </c>
      <c r="H38" s="9">
        <f t="shared" si="11"/>
        <v>1.141596740731937</v>
      </c>
      <c r="I38" s="9">
        <f t="shared" si="11"/>
        <v>0.98316891861998623</v>
      </c>
      <c r="J38" s="9">
        <f t="shared" si="11"/>
        <v>0.83204344322892254</v>
      </c>
      <c r="K38" s="9">
        <f t="shared" si="11"/>
        <v>0.67952114436694744</v>
      </c>
    </row>
    <row r="39" spans="2:11" x14ac:dyDescent="0.25">
      <c r="B39" s="3" t="s">
        <v>13</v>
      </c>
      <c r="C39" s="9">
        <f>C30/C26</f>
        <v>0.7762843948109055</v>
      </c>
      <c r="D39" s="9">
        <f t="shared" ref="D39:K39" si="12">D30/D26</f>
        <v>0.32563139309410311</v>
      </c>
      <c r="E39" s="9">
        <f t="shared" si="12"/>
        <v>0.32226980011399925</v>
      </c>
      <c r="F39" s="9">
        <f t="shared" si="12"/>
        <v>0.35499910355448999</v>
      </c>
      <c r="G39" s="9">
        <f t="shared" si="12"/>
        <v>0.28387404951943357</v>
      </c>
      <c r="H39" s="9">
        <f t="shared" si="12"/>
        <v>0.31759316334637555</v>
      </c>
      <c r="I39" s="9">
        <f t="shared" si="12"/>
        <v>0.33937080220527893</v>
      </c>
      <c r="J39" s="9">
        <f t="shared" si="12"/>
        <v>0.456842427964128</v>
      </c>
      <c r="K39" s="9">
        <f t="shared" si="12"/>
        <v>0.41930444804974359</v>
      </c>
    </row>
    <row r="40" spans="2:11" x14ac:dyDescent="0.25">
      <c r="B40" s="30" t="s">
        <v>58</v>
      </c>
    </row>
    <row r="44" spans="2:11" x14ac:dyDescent="0.25">
      <c r="B44" s="1" t="s">
        <v>60</v>
      </c>
    </row>
    <row r="46" spans="2:11" x14ac:dyDescent="0.25">
      <c r="B46" s="2" t="s">
        <v>14</v>
      </c>
      <c r="C46" s="5">
        <v>2009</v>
      </c>
      <c r="D46" s="5">
        <v>2010</v>
      </c>
      <c r="E46" s="5">
        <v>2011</v>
      </c>
      <c r="F46" s="5">
        <v>2012</v>
      </c>
      <c r="G46" s="5">
        <v>2013</v>
      </c>
      <c r="H46" s="5">
        <v>2014</v>
      </c>
      <c r="I46" s="5">
        <v>2015</v>
      </c>
      <c r="J46" s="5">
        <v>2016</v>
      </c>
      <c r="K46" s="5">
        <v>2017</v>
      </c>
    </row>
    <row r="47" spans="2:11" x14ac:dyDescent="0.25">
      <c r="B47" s="3" t="s">
        <v>11</v>
      </c>
      <c r="C47" s="9">
        <f>C37-C9</f>
        <v>-2.9309825130908962E-2</v>
      </c>
      <c r="D47" s="9">
        <f t="shared" ref="D47:K47" si="13">D37-D9</f>
        <v>-2.0625695641751207E-2</v>
      </c>
      <c r="E47" s="9">
        <f t="shared" si="13"/>
        <v>-6.8261831844722565E-3</v>
      </c>
      <c r="F47" s="9">
        <f t="shared" si="13"/>
        <v>-3.9168766724837489E-3</v>
      </c>
      <c r="G47" s="9">
        <f t="shared" si="13"/>
        <v>1.5168459305652249E-3</v>
      </c>
      <c r="H47" s="9">
        <f t="shared" si="13"/>
        <v>-7.4239298970315559E-3</v>
      </c>
      <c r="I47" s="9">
        <f t="shared" si="13"/>
        <v>-1.1509927072632209E-2</v>
      </c>
      <c r="J47" s="9">
        <f t="shared" si="13"/>
        <v>-1.1289367503442671E-2</v>
      </c>
      <c r="K47" s="9">
        <f t="shared" si="13"/>
        <v>-1.0625778595392044E-2</v>
      </c>
    </row>
    <row r="48" spans="2:11" x14ac:dyDescent="0.25">
      <c r="B48" s="3" t="s">
        <v>12</v>
      </c>
      <c r="C48" s="9">
        <f t="shared" ref="C48:K48" si="14">C38-C10</f>
        <v>4.0094673036348283E-3</v>
      </c>
      <c r="D48" s="9">
        <f t="shared" si="14"/>
        <v>5.482840099830133E-3</v>
      </c>
      <c r="E48" s="9">
        <f t="shared" si="14"/>
        <v>6.26007075909496E-3</v>
      </c>
      <c r="F48" s="9">
        <f t="shared" si="14"/>
        <v>7.0301372730907641E-3</v>
      </c>
      <c r="G48" s="9">
        <f t="shared" si="14"/>
        <v>1.2369594794241712E-2</v>
      </c>
      <c r="H48" s="9">
        <f t="shared" si="14"/>
        <v>4.9025348114926093E-3</v>
      </c>
      <c r="I48" s="9">
        <f t="shared" si="14"/>
        <v>2.9180382173069619E-3</v>
      </c>
      <c r="J48" s="9">
        <f t="shared" si="14"/>
        <v>-8.8998295351583323E-4</v>
      </c>
      <c r="K48" s="9">
        <f t="shared" si="14"/>
        <v>-1.6419003989562864E-3</v>
      </c>
    </row>
    <row r="49" spans="2:11" x14ac:dyDescent="0.25">
      <c r="B49" s="3" t="s">
        <v>13</v>
      </c>
      <c r="C49" s="9">
        <f t="shared" ref="C49:K49" si="15">C39-C11</f>
        <v>-7.7628439481091105E-3</v>
      </c>
      <c r="D49" s="9">
        <f t="shared" si="15"/>
        <v>-3.2563139309410571E-3</v>
      </c>
      <c r="E49" s="9">
        <f t="shared" si="15"/>
        <v>-3.2226980011400008E-3</v>
      </c>
      <c r="F49" s="9">
        <f t="shared" si="15"/>
        <v>-3.5499910355448749E-3</v>
      </c>
      <c r="G49" s="9">
        <f t="shared" si="15"/>
        <v>-2.8387404951943362E-3</v>
      </c>
      <c r="H49" s="9">
        <f t="shared" si="15"/>
        <v>-3.1759316334637466E-3</v>
      </c>
      <c r="I49" s="9">
        <f t="shared" si="15"/>
        <v>-3.3937080220527993E-3</v>
      </c>
      <c r="J49" s="9">
        <f t="shared" si="15"/>
        <v>-4.56842427964127E-3</v>
      </c>
      <c r="K49" s="9">
        <f t="shared" si="15"/>
        <v>-4.1930444804973988E-3</v>
      </c>
    </row>
    <row r="50" spans="2:11" x14ac:dyDescent="0.25">
      <c r="B50" s="30" t="s">
        <v>58</v>
      </c>
    </row>
  </sheetData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1</xdr:col>
                    <xdr:colOff>38100</xdr:colOff>
                    <xdr:row>20</xdr:row>
                    <xdr:rowOff>47625</xdr:rowOff>
                  </from>
                  <to>
                    <xdr:col>1</xdr:col>
                    <xdr:colOff>762000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croll Bar 2">
              <controlPr defaultSize="0" autoPict="0">
                <anchor moveWithCells="1">
                  <from>
                    <xdr:col>1</xdr:col>
                    <xdr:colOff>28575</xdr:colOff>
                    <xdr:row>24</xdr:row>
                    <xdr:rowOff>57150</xdr:rowOff>
                  </from>
                  <to>
                    <xdr:col>1</xdr:col>
                    <xdr:colOff>752475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croll Bar 3">
              <controlPr defaultSize="0" autoPict="0">
                <anchor moveWithCells="1">
                  <from>
                    <xdr:col>1</xdr:col>
                    <xdr:colOff>28575</xdr:colOff>
                    <xdr:row>16</xdr:row>
                    <xdr:rowOff>28575</xdr:rowOff>
                  </from>
                  <to>
                    <xdr:col>1</xdr:col>
                    <xdr:colOff>752475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croll Bar 4">
              <controlPr defaultSize="0" autoPict="0">
                <anchor moveWithCells="1">
                  <from>
                    <xdr:col>1</xdr:col>
                    <xdr:colOff>0</xdr:colOff>
                    <xdr:row>28</xdr:row>
                    <xdr:rowOff>85725</xdr:rowOff>
                  </from>
                  <to>
                    <xdr:col>1</xdr:col>
                    <xdr:colOff>723900</xdr:colOff>
                    <xdr:row>30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7"/>
  <sheetViews>
    <sheetView topLeftCell="A5" workbookViewId="0">
      <selection activeCell="B10" sqref="B10"/>
    </sheetView>
  </sheetViews>
  <sheetFormatPr defaultRowHeight="15" x14ac:dyDescent="0.25"/>
  <cols>
    <col min="2" max="2" width="36.140625" customWidth="1"/>
    <col min="3" max="5" width="12.85546875" bestFit="1" customWidth="1"/>
    <col min="6" max="7" width="12.42578125" bestFit="1" customWidth="1"/>
    <col min="8" max="11" width="12.85546875" bestFit="1" customWidth="1"/>
  </cols>
  <sheetData>
    <row r="2" spans="2:11" x14ac:dyDescent="0.25">
      <c r="B2" s="1" t="s">
        <v>67</v>
      </c>
    </row>
    <row r="4" spans="2:11" ht="14.45" x14ac:dyDescent="0.3">
      <c r="B4" s="5" t="s">
        <v>9</v>
      </c>
      <c r="C4" s="11">
        <v>2009</v>
      </c>
      <c r="D4" s="11">
        <v>2010</v>
      </c>
      <c r="E4" s="11">
        <v>2011</v>
      </c>
      <c r="F4" s="11">
        <v>2012</v>
      </c>
      <c r="G4" s="11">
        <v>2013</v>
      </c>
      <c r="H4" s="11">
        <v>2014</v>
      </c>
      <c r="I4" s="11">
        <v>2015</v>
      </c>
      <c r="J4" s="11">
        <v>2016</v>
      </c>
      <c r="K4" s="11">
        <v>2017</v>
      </c>
    </row>
    <row r="5" spans="2:11" ht="14.45" x14ac:dyDescent="0.3">
      <c r="B5" s="3" t="s">
        <v>5</v>
      </c>
      <c r="C5" s="4">
        <v>695294</v>
      </c>
      <c r="D5" s="4">
        <v>773479</v>
      </c>
      <c r="E5" s="4">
        <v>475080</v>
      </c>
      <c r="F5" s="4">
        <v>491516</v>
      </c>
      <c r="G5" s="4">
        <v>570997</v>
      </c>
      <c r="H5" s="4">
        <v>712315</v>
      </c>
      <c r="I5" s="4">
        <v>954211</v>
      </c>
      <c r="J5" s="4">
        <v>832586</v>
      </c>
      <c r="K5" s="4">
        <v>1102972</v>
      </c>
    </row>
    <row r="6" spans="2:11" x14ac:dyDescent="0.25">
      <c r="B6" s="3" t="s">
        <v>10</v>
      </c>
      <c r="C6" s="4">
        <v>245660</v>
      </c>
      <c r="D6" s="4">
        <v>258902</v>
      </c>
      <c r="E6" s="4">
        <v>344260</v>
      </c>
      <c r="F6" s="4">
        <v>475043</v>
      </c>
      <c r="G6" s="4">
        <v>800158</v>
      </c>
      <c r="H6" s="4">
        <v>466834</v>
      </c>
      <c r="I6" s="4">
        <v>417435</v>
      </c>
      <c r="J6" s="4">
        <v>294500</v>
      </c>
      <c r="K6" s="4">
        <v>313210</v>
      </c>
    </row>
    <row r="7" spans="2:11" x14ac:dyDescent="0.25">
      <c r="B7" s="3" t="s">
        <v>7</v>
      </c>
      <c r="C7" s="4">
        <v>206610</v>
      </c>
      <c r="D7" s="4">
        <v>293322</v>
      </c>
      <c r="E7" s="4">
        <v>359443</v>
      </c>
      <c r="F7" s="4">
        <v>444550</v>
      </c>
      <c r="G7" s="4">
        <v>520922</v>
      </c>
      <c r="H7" s="4">
        <v>572153</v>
      </c>
      <c r="I7" s="4">
        <v>654814</v>
      </c>
      <c r="J7" s="4">
        <v>792684</v>
      </c>
      <c r="K7" s="4">
        <v>1215568</v>
      </c>
    </row>
    <row r="8" spans="2:11" x14ac:dyDescent="0.25">
      <c r="B8" s="3" t="s">
        <v>22</v>
      </c>
      <c r="C8" s="4">
        <f t="shared" ref="C8:K8" si="0">C5+C6-C7</f>
        <v>734344</v>
      </c>
      <c r="D8" s="4">
        <f t="shared" si="0"/>
        <v>739059</v>
      </c>
      <c r="E8" s="4">
        <f t="shared" si="0"/>
        <v>459897</v>
      </c>
      <c r="F8" s="4">
        <f t="shared" si="0"/>
        <v>522009</v>
      </c>
      <c r="G8" s="4">
        <f t="shared" si="0"/>
        <v>850233</v>
      </c>
      <c r="H8" s="4">
        <f t="shared" si="0"/>
        <v>606996</v>
      </c>
      <c r="I8" s="4">
        <f t="shared" si="0"/>
        <v>716832</v>
      </c>
      <c r="J8" s="4">
        <f t="shared" si="0"/>
        <v>334402</v>
      </c>
      <c r="K8" s="4">
        <f t="shared" si="0"/>
        <v>200614</v>
      </c>
    </row>
    <row r="9" spans="2:11" x14ac:dyDescent="0.25">
      <c r="B9" s="3" t="s">
        <v>23</v>
      </c>
      <c r="C9" s="9"/>
      <c r="D9" s="4">
        <f t="shared" ref="D9:K9" si="1">D8-C8</f>
        <v>4715</v>
      </c>
      <c r="E9" s="4">
        <f t="shared" si="1"/>
        <v>-279162</v>
      </c>
      <c r="F9" s="4">
        <f t="shared" si="1"/>
        <v>62112</v>
      </c>
      <c r="G9" s="4">
        <f t="shared" si="1"/>
        <v>328224</v>
      </c>
      <c r="H9" s="4">
        <f t="shared" si="1"/>
        <v>-243237</v>
      </c>
      <c r="I9" s="4">
        <f t="shared" si="1"/>
        <v>109836</v>
      </c>
      <c r="J9" s="4">
        <f t="shared" si="1"/>
        <v>-382430</v>
      </c>
      <c r="K9" s="4">
        <f t="shared" si="1"/>
        <v>-133788</v>
      </c>
    </row>
    <row r="10" spans="2:11" x14ac:dyDescent="0.25">
      <c r="B10" s="30" t="s">
        <v>58</v>
      </c>
    </row>
    <row r="11" spans="2:11" ht="14.45" x14ac:dyDescent="0.3">
      <c r="B11" s="32"/>
    </row>
    <row r="12" spans="2:11" x14ac:dyDescent="0.25">
      <c r="B12" s="33" t="s">
        <v>62</v>
      </c>
    </row>
    <row r="14" spans="2:11" x14ac:dyDescent="0.25">
      <c r="B14" s="1" t="s">
        <v>68</v>
      </c>
    </row>
    <row r="16" spans="2:11" x14ac:dyDescent="0.25">
      <c r="B16" s="1" t="s">
        <v>24</v>
      </c>
      <c r="C16" s="28">
        <v>2009</v>
      </c>
      <c r="D16" s="28">
        <v>2010</v>
      </c>
      <c r="E16" s="28">
        <v>2011</v>
      </c>
      <c r="F16" s="28">
        <v>2012</v>
      </c>
      <c r="G16" s="28">
        <v>2013</v>
      </c>
      <c r="H16" s="28">
        <v>2014</v>
      </c>
      <c r="I16" s="28">
        <v>2015</v>
      </c>
      <c r="J16" s="28">
        <v>2016</v>
      </c>
      <c r="K16" s="28">
        <v>2017</v>
      </c>
    </row>
    <row r="17" spans="2:11" ht="14.45" x14ac:dyDescent="0.3">
      <c r="B17" s="34">
        <f>'Wskaźniki płynności finansowej'!$C$17</f>
        <v>1</v>
      </c>
      <c r="C17" s="4">
        <f>+'Wskaźniki płynności finansowej'!C$18</f>
        <v>695294</v>
      </c>
      <c r="D17" s="4">
        <f>+'Wskaźniki płynności finansowej'!D$18</f>
        <v>773479</v>
      </c>
      <c r="E17" s="4">
        <f>+'Wskaźniki płynności finansowej'!E$18</f>
        <v>475080</v>
      </c>
      <c r="F17" s="4">
        <f>+'Wskaźniki płynności finansowej'!F$18</f>
        <v>491516</v>
      </c>
      <c r="G17" s="4">
        <f>+'Wskaźniki płynności finansowej'!G$18</f>
        <v>570997</v>
      </c>
      <c r="H17" s="4">
        <f>+'Wskaźniki płynności finansowej'!H$18</f>
        <v>712315</v>
      </c>
      <c r="I17" s="4">
        <f>+'Wskaźniki płynności finansowej'!I$18</f>
        <v>954211</v>
      </c>
      <c r="J17" s="4">
        <f>+'Wskaźniki płynności finansowej'!J$18</f>
        <v>832586</v>
      </c>
      <c r="K17" s="4">
        <f>+'Wskaźniki płynności finansowej'!K$18</f>
        <v>1102972</v>
      </c>
    </row>
    <row r="18" spans="2:11" x14ac:dyDescent="0.25">
      <c r="B18" s="1" t="s">
        <v>25</v>
      </c>
    </row>
    <row r="19" spans="2:11" ht="14.45" x14ac:dyDescent="0.3">
      <c r="B19" s="34">
        <f>'Wskaźniki płynności finansowej'!$C$21</f>
        <v>1.02</v>
      </c>
      <c r="C19" s="4">
        <f>'Wskaźniki płynności finansowej'!C$22</f>
        <v>250573.2</v>
      </c>
      <c r="D19" s="4">
        <f>'Wskaźniki płynności finansowej'!D$22</f>
        <v>264080.03999999998</v>
      </c>
      <c r="E19" s="4">
        <f>'Wskaźniki płynności finansowej'!E$22</f>
        <v>351145.2</v>
      </c>
      <c r="F19" s="4">
        <f>'Wskaźniki płynności finansowej'!F$22</f>
        <v>484543.86</v>
      </c>
      <c r="G19" s="4">
        <f>'Wskaźniki płynności finansowej'!G$22</f>
        <v>816161.16</v>
      </c>
      <c r="H19" s="4">
        <f>'Wskaźniki płynności finansowej'!H$22</f>
        <v>476170.68</v>
      </c>
      <c r="I19" s="4">
        <f>'Wskaźniki płynności finansowej'!I$22</f>
        <v>425783.7</v>
      </c>
      <c r="J19" s="4">
        <f>'Wskaźniki płynności finansowej'!J$22</f>
        <v>300390</v>
      </c>
      <c r="K19" s="4">
        <f>'Wskaźniki płynności finansowej'!K$22</f>
        <v>319474.2</v>
      </c>
    </row>
    <row r="20" spans="2:11" x14ac:dyDescent="0.25">
      <c r="B20" s="1" t="s">
        <v>26</v>
      </c>
    </row>
    <row r="21" spans="2:11" ht="14.45" x14ac:dyDescent="0.3">
      <c r="B21" s="34">
        <f>'Wskaźniki płynności finansowej'!$C$25</f>
        <v>1.01</v>
      </c>
      <c r="C21" s="4">
        <f>'Wskaźniki płynności finansowej'!C$26</f>
        <v>208676.1</v>
      </c>
      <c r="D21" s="4">
        <f>'Wskaźniki płynności finansowej'!D$26</f>
        <v>296255.22000000003</v>
      </c>
      <c r="E21" s="4">
        <f>'Wskaźniki płynności finansowej'!E$26</f>
        <v>363037.43</v>
      </c>
      <c r="F21" s="4">
        <f>'Wskaźniki płynności finansowej'!F$26</f>
        <v>448995.5</v>
      </c>
      <c r="G21" s="4">
        <f>'Wskaźniki płynności finansowej'!G$26</f>
        <v>526131.22</v>
      </c>
      <c r="H21" s="4">
        <f>'Wskaźniki płynności finansowej'!H$26</f>
        <v>577874.53</v>
      </c>
      <c r="I21" s="4">
        <f>'Wskaźniki płynności finansowej'!I$26</f>
        <v>661362.14</v>
      </c>
      <c r="J21" s="4">
        <f>'Wskaźniki płynności finansowej'!J$26</f>
        <v>800610.84</v>
      </c>
      <c r="K21" s="4">
        <f>'Wskaźniki płynności finansowej'!K$26</f>
        <v>1227723.68</v>
      </c>
    </row>
    <row r="23" spans="2:11" x14ac:dyDescent="0.25">
      <c r="B23" s="3" t="s">
        <v>22</v>
      </c>
      <c r="C23" s="4">
        <f t="shared" ref="C23:K23" si="2">+C17+C19-C21</f>
        <v>737191.1</v>
      </c>
      <c r="D23" s="4">
        <f t="shared" si="2"/>
        <v>741303.82000000007</v>
      </c>
      <c r="E23" s="4">
        <f t="shared" si="2"/>
        <v>463187.76999999996</v>
      </c>
      <c r="F23" s="4">
        <f t="shared" si="2"/>
        <v>527064.36</v>
      </c>
      <c r="G23" s="4">
        <f t="shared" si="2"/>
        <v>861026.94000000018</v>
      </c>
      <c r="H23" s="4">
        <f t="shared" si="2"/>
        <v>610611.14999999991</v>
      </c>
      <c r="I23" s="4">
        <f t="shared" si="2"/>
        <v>718632.55999999994</v>
      </c>
      <c r="J23" s="4">
        <f t="shared" si="2"/>
        <v>332365.16000000003</v>
      </c>
      <c r="K23" s="4">
        <f t="shared" si="2"/>
        <v>194722.52000000002</v>
      </c>
    </row>
    <row r="24" spans="2:11" x14ac:dyDescent="0.25">
      <c r="B24" s="3" t="s">
        <v>27</v>
      </c>
      <c r="C24" s="10"/>
      <c r="D24" s="4">
        <f>D23-C23</f>
        <v>4112.7200000000885</v>
      </c>
      <c r="E24" s="4">
        <f t="shared" ref="E24:K24" si="3">E23-D23</f>
        <v>-278116.0500000001</v>
      </c>
      <c r="F24" s="4">
        <f t="shared" si="3"/>
        <v>63876.590000000026</v>
      </c>
      <c r="G24" s="4">
        <f t="shared" si="3"/>
        <v>333962.58000000019</v>
      </c>
      <c r="H24" s="4">
        <f t="shared" si="3"/>
        <v>-250415.79000000027</v>
      </c>
      <c r="I24" s="4">
        <f t="shared" si="3"/>
        <v>108021.41000000003</v>
      </c>
      <c r="J24" s="4">
        <f t="shared" si="3"/>
        <v>-386267.39999999991</v>
      </c>
      <c r="K24" s="4">
        <f t="shared" si="3"/>
        <v>-137642.64000000001</v>
      </c>
    </row>
    <row r="26" spans="2:11" ht="14.45" x14ac:dyDescent="0.3">
      <c r="B26" s="3" t="s">
        <v>28</v>
      </c>
      <c r="C26" s="4">
        <f>C24-C9</f>
        <v>0</v>
      </c>
      <c r="D26" s="4">
        <f t="shared" ref="D26:K26" si="4">D24-D9</f>
        <v>-602.27999999991152</v>
      </c>
      <c r="E26" s="4">
        <f t="shared" si="4"/>
        <v>1045.9499999998952</v>
      </c>
      <c r="F26" s="4">
        <f t="shared" si="4"/>
        <v>1764.5900000000256</v>
      </c>
      <c r="G26" s="4">
        <f t="shared" si="4"/>
        <v>5738.5800000001909</v>
      </c>
      <c r="H26" s="4">
        <f t="shared" si="4"/>
        <v>-7178.7900000002701</v>
      </c>
      <c r="I26" s="4">
        <f t="shared" si="4"/>
        <v>-1814.5899999999674</v>
      </c>
      <c r="J26" s="4">
        <f t="shared" si="4"/>
        <v>-3837.3999999999069</v>
      </c>
      <c r="K26" s="4">
        <f t="shared" si="4"/>
        <v>-3854.640000000014</v>
      </c>
    </row>
    <row r="27" spans="2:11" x14ac:dyDescent="0.25">
      <c r="B27" s="30" t="s">
        <v>58</v>
      </c>
    </row>
  </sheetData>
  <conditionalFormatting sqref="C9:K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4:K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topLeftCell="G31" workbookViewId="0">
      <selection activeCell="P55" sqref="P55"/>
    </sheetView>
  </sheetViews>
  <sheetFormatPr defaultRowHeight="15" x14ac:dyDescent="0.25"/>
  <cols>
    <col min="2" max="2" width="26.7109375" bestFit="1" customWidth="1"/>
    <col min="16" max="16" width="31.140625" customWidth="1"/>
  </cols>
  <sheetData>
    <row r="1" spans="1:25" ht="14.45" x14ac:dyDescent="0.3">
      <c r="A1" t="s">
        <v>81</v>
      </c>
    </row>
    <row r="3" spans="1:25" x14ac:dyDescent="0.25">
      <c r="B3" s="1" t="s">
        <v>70</v>
      </c>
      <c r="P3" s="1" t="s">
        <v>69</v>
      </c>
    </row>
    <row r="5" spans="1:25" x14ac:dyDescent="0.25">
      <c r="B5" s="13" t="s">
        <v>38</v>
      </c>
      <c r="P5" s="13" t="s">
        <v>39</v>
      </c>
    </row>
    <row r="6" spans="1:25" ht="14.45" x14ac:dyDescent="0.3">
      <c r="B6" s="3"/>
      <c r="C6" s="11">
        <v>2009</v>
      </c>
      <c r="D6" s="11">
        <v>2010</v>
      </c>
      <c r="E6" s="11">
        <v>2011</v>
      </c>
      <c r="F6" s="11">
        <v>2012</v>
      </c>
      <c r="G6" s="11">
        <v>2013</v>
      </c>
      <c r="H6" s="11">
        <v>2014</v>
      </c>
      <c r="I6" s="11">
        <v>2015</v>
      </c>
      <c r="J6" s="11">
        <v>2016</v>
      </c>
      <c r="K6" s="11">
        <v>2017</v>
      </c>
      <c r="L6" s="37"/>
      <c r="M6" s="37"/>
      <c r="N6" s="37"/>
      <c r="P6" s="3"/>
      <c r="Q6" s="11">
        <v>2009</v>
      </c>
      <c r="R6" s="11">
        <v>2010</v>
      </c>
      <c r="S6" s="11">
        <v>2011</v>
      </c>
      <c r="T6" s="11">
        <v>2012</v>
      </c>
      <c r="U6" s="11">
        <v>2013</v>
      </c>
      <c r="V6" s="28">
        <v>2014</v>
      </c>
      <c r="W6" s="11">
        <v>2015</v>
      </c>
      <c r="X6" s="11">
        <v>2016</v>
      </c>
      <c r="Y6" s="11">
        <v>2017</v>
      </c>
    </row>
    <row r="7" spans="1:25" ht="14.45" x14ac:dyDescent="0.3">
      <c r="B7" s="3" t="s">
        <v>5</v>
      </c>
      <c r="C7" s="4">
        <f>+'Dane wyjściowe'!C9</f>
        <v>695294</v>
      </c>
      <c r="D7" s="4">
        <f>+'Dane wyjściowe'!D9</f>
        <v>773479</v>
      </c>
      <c r="E7" s="4">
        <f>+'Dane wyjściowe'!E9</f>
        <v>475080</v>
      </c>
      <c r="F7" s="4">
        <f>+'Dane wyjściowe'!F9</f>
        <v>491516</v>
      </c>
      <c r="G7" s="4">
        <f>+'Dane wyjściowe'!G9</f>
        <v>570997</v>
      </c>
      <c r="H7" s="4">
        <f>+'Dane wyjściowe'!H9</f>
        <v>712315</v>
      </c>
      <c r="I7" s="4">
        <f>+'Dane wyjściowe'!I9</f>
        <v>954211</v>
      </c>
      <c r="J7" s="4">
        <f>+'Dane wyjściowe'!J9</f>
        <v>832586</v>
      </c>
      <c r="K7" s="4">
        <f>+'Dane wyjściowe'!K9</f>
        <v>1102972</v>
      </c>
      <c r="L7" s="35"/>
      <c r="M7" s="35"/>
      <c r="N7" s="35"/>
      <c r="P7" s="3" t="s">
        <v>5</v>
      </c>
      <c r="Q7" s="4"/>
      <c r="R7" s="4">
        <f t="shared" ref="R7:Y9" si="0">(C7+D7)/2</f>
        <v>734386.5</v>
      </c>
      <c r="S7" s="4">
        <f t="shared" si="0"/>
        <v>624279.5</v>
      </c>
      <c r="T7" s="4">
        <f t="shared" si="0"/>
        <v>483298</v>
      </c>
      <c r="U7" s="4">
        <f t="shared" si="0"/>
        <v>531256.5</v>
      </c>
      <c r="V7" s="4">
        <f t="shared" si="0"/>
        <v>641656</v>
      </c>
      <c r="W7" s="4">
        <f t="shared" si="0"/>
        <v>833263</v>
      </c>
      <c r="X7" s="4">
        <f t="shared" si="0"/>
        <v>893398.5</v>
      </c>
      <c r="Y7" s="4">
        <f t="shared" si="0"/>
        <v>967779</v>
      </c>
    </row>
    <row r="8" spans="1:25" x14ac:dyDescent="0.25">
      <c r="B8" s="3" t="s">
        <v>40</v>
      </c>
      <c r="C8" s="4">
        <f>+'Dane wyjściowe'!C10</f>
        <v>245660</v>
      </c>
      <c r="D8" s="4">
        <f>+'Dane wyjściowe'!D10</f>
        <v>258902</v>
      </c>
      <c r="E8" s="4">
        <f>+'Dane wyjściowe'!E10</f>
        <v>344260</v>
      </c>
      <c r="F8" s="4">
        <f>+'Dane wyjściowe'!F10</f>
        <v>475043</v>
      </c>
      <c r="G8" s="4">
        <f>+'Dane wyjściowe'!G10</f>
        <v>800158</v>
      </c>
      <c r="H8" s="4">
        <f>+'Dane wyjściowe'!H10</f>
        <v>466834</v>
      </c>
      <c r="I8" s="4">
        <f>+'Dane wyjściowe'!I10</f>
        <v>417435</v>
      </c>
      <c r="J8" s="4">
        <f>+'Dane wyjściowe'!J10</f>
        <v>294500</v>
      </c>
      <c r="K8" s="4">
        <f>+'Dane wyjściowe'!K10</f>
        <v>313210</v>
      </c>
      <c r="L8" s="35"/>
      <c r="M8" s="35"/>
      <c r="N8" s="35"/>
      <c r="P8" s="3" t="s">
        <v>40</v>
      </c>
      <c r="Q8" s="4"/>
      <c r="R8" s="4">
        <f t="shared" si="0"/>
        <v>252281</v>
      </c>
      <c r="S8" s="4">
        <f t="shared" si="0"/>
        <v>301581</v>
      </c>
      <c r="T8" s="4">
        <f t="shared" si="0"/>
        <v>409651.5</v>
      </c>
      <c r="U8" s="4">
        <f t="shared" si="0"/>
        <v>637600.5</v>
      </c>
      <c r="V8" s="4">
        <f t="shared" si="0"/>
        <v>633496</v>
      </c>
      <c r="W8" s="4">
        <f t="shared" si="0"/>
        <v>442134.5</v>
      </c>
      <c r="X8" s="4">
        <f t="shared" si="0"/>
        <v>355967.5</v>
      </c>
      <c r="Y8" s="4">
        <f t="shared" si="0"/>
        <v>303855</v>
      </c>
    </row>
    <row r="9" spans="1:25" x14ac:dyDescent="0.25">
      <c r="B9" s="3" t="s">
        <v>7</v>
      </c>
      <c r="C9" s="4">
        <f>+'Dane wyjściowe'!C15</f>
        <v>206610</v>
      </c>
      <c r="D9" s="4">
        <f>+'Dane wyjściowe'!D15</f>
        <v>293322</v>
      </c>
      <c r="E9" s="4">
        <f>+'Dane wyjściowe'!E15</f>
        <v>359443</v>
      </c>
      <c r="F9" s="4">
        <f>+'Dane wyjściowe'!F15</f>
        <v>444550</v>
      </c>
      <c r="G9" s="4">
        <f>+'Dane wyjściowe'!G15</f>
        <v>520922</v>
      </c>
      <c r="H9" s="4">
        <f>+'Dane wyjściowe'!H15</f>
        <v>572153</v>
      </c>
      <c r="I9" s="4">
        <f>+'Dane wyjściowe'!I15</f>
        <v>654814</v>
      </c>
      <c r="J9" s="4">
        <f>+'Dane wyjściowe'!J15</f>
        <v>792684</v>
      </c>
      <c r="K9" s="4">
        <f>+'Dane wyjściowe'!K15</f>
        <v>1215568</v>
      </c>
      <c r="L9" s="35"/>
      <c r="M9" s="35"/>
      <c r="N9" s="35"/>
      <c r="P9" s="3" t="s">
        <v>7</v>
      </c>
      <c r="Q9" s="4"/>
      <c r="R9" s="4">
        <f t="shared" si="0"/>
        <v>249966</v>
      </c>
      <c r="S9" s="4">
        <f t="shared" si="0"/>
        <v>326382.5</v>
      </c>
      <c r="T9" s="4">
        <f t="shared" si="0"/>
        <v>401996.5</v>
      </c>
      <c r="U9" s="4">
        <f t="shared" si="0"/>
        <v>482736</v>
      </c>
      <c r="V9" s="4">
        <f t="shared" si="0"/>
        <v>546537.5</v>
      </c>
      <c r="W9" s="4">
        <f t="shared" si="0"/>
        <v>613483.5</v>
      </c>
      <c r="X9" s="4">
        <f t="shared" si="0"/>
        <v>723749</v>
      </c>
      <c r="Y9" s="4">
        <f t="shared" si="0"/>
        <v>1004126</v>
      </c>
    </row>
    <row r="10" spans="1:25" x14ac:dyDescent="0.25">
      <c r="B10" s="30" t="s">
        <v>58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P10" s="30" t="s">
        <v>58</v>
      </c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14.45" x14ac:dyDescent="0.3">
      <c r="B11" s="32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P11" s="32"/>
      <c r="Q11" s="35"/>
      <c r="R11" s="35"/>
      <c r="S11" s="35"/>
      <c r="T11" s="35"/>
      <c r="U11" s="35"/>
      <c r="V11" s="35"/>
      <c r="W11" s="35"/>
      <c r="X11" s="35"/>
      <c r="Y11" s="35"/>
    </row>
    <row r="12" spans="1:25" x14ac:dyDescent="0.25">
      <c r="B12" s="33" t="s">
        <v>79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P12" s="32"/>
      <c r="Q12" s="35"/>
      <c r="R12" s="35"/>
      <c r="S12" s="35"/>
      <c r="T12" s="35"/>
      <c r="U12" s="35"/>
      <c r="V12" s="35"/>
      <c r="W12" s="35"/>
      <c r="X12" s="35"/>
      <c r="Y12" s="35"/>
    </row>
    <row r="13" spans="1:25" x14ac:dyDescent="0.25">
      <c r="B13" s="31" t="s">
        <v>80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P13" s="19"/>
      <c r="Q13" s="35"/>
      <c r="R13" s="35"/>
      <c r="S13" s="35"/>
      <c r="T13" s="35"/>
      <c r="U13" s="35"/>
      <c r="V13" s="35"/>
      <c r="W13" s="35"/>
      <c r="X13" s="35"/>
      <c r="Y13" s="35"/>
    </row>
    <row r="15" spans="1:25" x14ac:dyDescent="0.25">
      <c r="B15" s="1" t="s">
        <v>71</v>
      </c>
      <c r="P15" s="1" t="s">
        <v>72</v>
      </c>
    </row>
    <row r="16" spans="1:25" ht="14.45" x14ac:dyDescent="0.3">
      <c r="B16" s="36" t="s">
        <v>34</v>
      </c>
      <c r="P16" s="36" t="s">
        <v>34</v>
      </c>
    </row>
    <row r="17" spans="2:25" x14ac:dyDescent="0.25">
      <c r="B17" s="2" t="s">
        <v>14</v>
      </c>
      <c r="C17" s="11">
        <v>2009</v>
      </c>
      <c r="D17" s="11">
        <v>2010</v>
      </c>
      <c r="E17" s="11">
        <v>2011</v>
      </c>
      <c r="F17" s="11">
        <v>2012</v>
      </c>
      <c r="G17" s="11">
        <v>2013</v>
      </c>
      <c r="H17" s="11">
        <v>2014</v>
      </c>
      <c r="I17" s="11">
        <v>2015</v>
      </c>
      <c r="J17" s="11">
        <v>2016</v>
      </c>
      <c r="K17" s="11">
        <v>2017</v>
      </c>
      <c r="L17" s="37"/>
      <c r="M17" s="37"/>
      <c r="N17" s="37"/>
      <c r="P17" s="2" t="s">
        <v>14</v>
      </c>
      <c r="Q17" s="11">
        <v>2009</v>
      </c>
      <c r="R17" s="11">
        <v>2010</v>
      </c>
      <c r="S17" s="11">
        <v>2011</v>
      </c>
      <c r="T17" s="11">
        <v>2012</v>
      </c>
      <c r="U17" s="11">
        <v>2013</v>
      </c>
      <c r="V17" s="11">
        <v>2014</v>
      </c>
      <c r="W17" s="11">
        <v>2015</v>
      </c>
      <c r="X17" s="11">
        <v>2016</v>
      </c>
      <c r="Y17" s="11">
        <v>2017</v>
      </c>
    </row>
    <row r="18" spans="2:25" x14ac:dyDescent="0.25">
      <c r="B18" s="3" t="s">
        <v>29</v>
      </c>
      <c r="C18" s="12">
        <f>'Dane wyjściowe'!C9/'Dane wyjściowe'!C5*365</f>
        <v>157.55067364126353</v>
      </c>
      <c r="D18" s="12">
        <f>'Dane wyjściowe'!D9/'Dane wyjściowe'!D5*365</f>
        <v>153.29597673844049</v>
      </c>
      <c r="E18" s="12">
        <f>'Dane wyjściowe'!E9/'Dane wyjściowe'!E5*365</f>
        <v>79.894674278131788</v>
      </c>
      <c r="F18" s="12">
        <f>'Dane wyjściowe'!F9/'Dane wyjściowe'!F5*365</f>
        <v>64.877214743560771</v>
      </c>
      <c r="G18" s="12">
        <f>'Dane wyjściowe'!G9/'Dane wyjściowe'!G5*365</f>
        <v>59.660081881148102</v>
      </c>
      <c r="H18" s="12">
        <f>'Dane wyjściowe'!H9/'Dane wyjściowe'!H5*365</f>
        <v>64.992293264893462</v>
      </c>
      <c r="I18" s="12">
        <f>'Dane wyjściowe'!I9/'Dane wyjściowe'!I5*365</f>
        <v>80.329072020477184</v>
      </c>
      <c r="J18" s="12">
        <f>'Dane wyjściowe'!J9/'Dane wyjściowe'!J5*365</f>
        <v>64.100775025380329</v>
      </c>
      <c r="K18" s="12">
        <f>'Dane wyjściowe'!K9/'Dane wyjściowe'!K5*365</f>
        <v>71.584626326926156</v>
      </c>
      <c r="L18" s="20"/>
      <c r="M18" s="20"/>
      <c r="N18" s="20"/>
      <c r="P18" s="3" t="s">
        <v>29</v>
      </c>
      <c r="Q18" s="12"/>
      <c r="R18" s="12">
        <f>R7/'Dane wyjściowe'!D5*365</f>
        <v>145.5482253830094</v>
      </c>
      <c r="S18" s="12">
        <f>S7/'Dane wyjściowe'!E5*365</f>
        <v>104.98570201021926</v>
      </c>
      <c r="T18" s="12">
        <f>T7/'Dane wyjściowe'!F5*365</f>
        <v>63.792487184818867</v>
      </c>
      <c r="U18" s="12">
        <f>U7/'Dane wyjściowe'!G5*365</f>
        <v>55.507833298409899</v>
      </c>
      <c r="V18" s="12">
        <f>V7/'Dane wyjściowe'!H5*365</f>
        <v>58.545299379036635</v>
      </c>
      <c r="W18" s="12">
        <f>W7/'Dane wyjściowe'!I5*365</f>
        <v>70.147214336241021</v>
      </c>
      <c r="X18" s="12">
        <f>X7/'Dane wyjściowe'!J5*365</f>
        <v>68.782727858157898</v>
      </c>
      <c r="Y18" s="12">
        <f>Y7/'Dane wyjściowe'!K5*365</f>
        <v>62.810386920108819</v>
      </c>
    </row>
    <row r="19" spans="2:25" x14ac:dyDescent="0.25">
      <c r="B19" s="3" t="s">
        <v>30</v>
      </c>
      <c r="C19" s="12">
        <f>'Dane wyjściowe'!C10/'Dane wyjściowe'!C5*365</f>
        <v>55.665514856611438</v>
      </c>
      <c r="D19" s="12">
        <f>'Dane wyjściowe'!D10/'Dane wyjściowe'!D5*365</f>
        <v>51.311845531081929</v>
      </c>
      <c r="E19" s="12">
        <f>'Dane wyjściowe'!E10/'Dane wyjściowe'!E5*365</f>
        <v>57.894545270248479</v>
      </c>
      <c r="F19" s="12">
        <f>'Dane wyjściowe'!F10/'Dane wyjściowe'!F5*365</f>
        <v>62.702875844174628</v>
      </c>
      <c r="G19" s="12">
        <f>'Dane wyjściowe'!G10/'Dane wyjściowe'!G5*365</f>
        <v>83.603752380232649</v>
      </c>
      <c r="H19" s="12">
        <f>'Dane wyjściowe'!H10/'Dane wyjściowe'!H5*365</f>
        <v>42.59437500828043</v>
      </c>
      <c r="I19" s="12">
        <f>'Dane wyjściowe'!I10/'Dane wyjściowe'!I5*365</f>
        <v>35.14124882113903</v>
      </c>
      <c r="J19" s="12">
        <f>'Dane wyjściowe'!J10/'Dane wyjściowe'!J5*365</f>
        <v>22.673547531395563</v>
      </c>
      <c r="K19" s="12">
        <f>'Dane wyjściowe'!K10/'Dane wyjściowe'!K5*365</f>
        <v>20.327824107825531</v>
      </c>
      <c r="L19" s="20"/>
      <c r="M19" s="20"/>
      <c r="N19" s="20"/>
      <c r="P19" s="3" t="s">
        <v>30</v>
      </c>
      <c r="Q19" s="12"/>
      <c r="R19" s="12">
        <f>R8/'Dane wyjściowe'!D5*365</f>
        <v>49.999628053962041</v>
      </c>
      <c r="S19" s="12">
        <f>S8/'Dane wyjściowe'!E5*365</f>
        <v>50.717175556692048</v>
      </c>
      <c r="T19" s="12">
        <f>T8/'Dane wyjściowe'!F5*365</f>
        <v>54.071583296417174</v>
      </c>
      <c r="U19" s="12">
        <f>U8/'Dane wyjściowe'!G5*365</f>
        <v>66.619085629978727</v>
      </c>
      <c r="V19" s="12">
        <f>V8/'Dane wyjściowe'!H5*365</f>
        <v>57.800773273252638</v>
      </c>
      <c r="W19" s="12">
        <f>W8/'Dane wyjściowe'!I5*365</f>
        <v>37.220545658389675</v>
      </c>
      <c r="X19" s="12">
        <f>X8/'Dane wyjściowe'!J5*365</f>
        <v>27.40592879756214</v>
      </c>
      <c r="Y19" s="12">
        <f>Y8/'Dane wyjściowe'!K5*365</f>
        <v>19.720669819875887</v>
      </c>
    </row>
    <row r="20" spans="2:25" x14ac:dyDescent="0.25">
      <c r="B20" s="3" t="s">
        <v>31</v>
      </c>
      <c r="C20" s="12">
        <f>'Dane wyjściowe'!C15/'Dane wyjściowe'!C5*365</f>
        <v>46.81695035628303</v>
      </c>
      <c r="D20" s="12">
        <f>'Dane wyjściowe'!D15/'Dane wyjściowe'!D5*365</f>
        <v>58.13355306203897</v>
      </c>
      <c r="E20" s="12">
        <f>'Dane wyjściowe'!E15/'Dane wyjściowe'!E5*365</f>
        <v>60.447885422569932</v>
      </c>
      <c r="F20" s="12">
        <f>'Dane wyjściowe'!F15/'Dane wyjściowe'!F5*365</f>
        <v>58.677979586117118</v>
      </c>
      <c r="G20" s="12">
        <f>'Dane wyjściowe'!G15/'Dane wyjściowe'!G5*365</f>
        <v>54.428042833309853</v>
      </c>
      <c r="H20" s="12">
        <f>'Dane wyjściowe'!H15/'Dane wyjściowe'!H5*365</f>
        <v>52.20378002483254</v>
      </c>
      <c r="I20" s="12">
        <f>'Dane wyjściowe'!I15/'Dane wyjściowe'!I5*365</f>
        <v>55.124706135243407</v>
      </c>
      <c r="J20" s="12">
        <f>'Dane wyjściowe'!J15/'Dane wyjściowe'!J5*365</f>
        <v>61.028721057306491</v>
      </c>
      <c r="K20" s="12">
        <f>'Dane wyjściowe'!K15/'Dane wyjściowe'!K5*365</f>
        <v>78.892284713455069</v>
      </c>
      <c r="L20" s="20"/>
      <c r="M20" s="20"/>
      <c r="N20" s="20"/>
      <c r="P20" s="3" t="s">
        <v>31</v>
      </c>
      <c r="Q20" s="12"/>
      <c r="R20" s="12"/>
      <c r="S20" s="12"/>
      <c r="T20" s="12"/>
      <c r="U20" s="12"/>
      <c r="V20" s="12"/>
      <c r="W20" s="12"/>
      <c r="X20" s="12"/>
      <c r="Y20" s="12">
        <f>Y9/'Dane wyjściowe'!K5*365</f>
        <v>65.169364675758814</v>
      </c>
    </row>
    <row r="21" spans="2:25" ht="14.45" x14ac:dyDescent="0.3">
      <c r="B21" s="3" t="s">
        <v>32</v>
      </c>
      <c r="C21" s="12">
        <f>C18+C19</f>
        <v>213.21618849787495</v>
      </c>
      <c r="D21" s="12">
        <f>D18+D19</f>
        <v>204.60782226952242</v>
      </c>
      <c r="E21" s="12">
        <f>E18+E19</f>
        <v>137.78921954838026</v>
      </c>
      <c r="F21" s="12">
        <f>F18+F19</f>
        <v>127.5800905877354</v>
      </c>
      <c r="G21" s="12">
        <f t="shared" ref="G21" si="1">G18+G19</f>
        <v>143.26383426138074</v>
      </c>
      <c r="H21" s="12">
        <f>H18+H19</f>
        <v>107.5866682731739</v>
      </c>
      <c r="I21" s="12">
        <f>I18+I19</f>
        <v>115.47032084161621</v>
      </c>
      <c r="J21" s="12">
        <f>J18+J19</f>
        <v>86.7743225567759</v>
      </c>
      <c r="K21" s="12">
        <f>K18+K19</f>
        <v>91.91245043475169</v>
      </c>
      <c r="L21" s="20"/>
      <c r="M21" s="20"/>
      <c r="N21" s="20"/>
      <c r="P21" s="3" t="s">
        <v>32</v>
      </c>
      <c r="Q21" s="12"/>
      <c r="R21" s="12">
        <f>R18+R19</f>
        <v>195.54785343697142</v>
      </c>
      <c r="S21" s="12">
        <f>S18+S19</f>
        <v>155.7028775669113</v>
      </c>
      <c r="T21" s="12">
        <f>T18+T19</f>
        <v>117.86407048123604</v>
      </c>
      <c r="U21" s="12">
        <f t="shared" ref="U21" si="2">U18+U19</f>
        <v>122.12691892838862</v>
      </c>
      <c r="V21" s="12">
        <f>V18+V19</f>
        <v>116.34607265228928</v>
      </c>
      <c r="W21" s="12">
        <f>W18+W19</f>
        <v>107.36775999463069</v>
      </c>
      <c r="X21" s="12">
        <f>X18+X19</f>
        <v>96.188656655720038</v>
      </c>
      <c r="Y21" s="12">
        <f>Y18+Y19</f>
        <v>82.531056739984706</v>
      </c>
    </row>
    <row r="22" spans="2:25" x14ac:dyDescent="0.25">
      <c r="B22" s="3" t="s">
        <v>33</v>
      </c>
      <c r="C22" s="15">
        <f>C21-C20</f>
        <v>166.39923814159192</v>
      </c>
      <c r="D22" s="15">
        <f>D21-D20</f>
        <v>146.47426920748345</v>
      </c>
      <c r="E22" s="15">
        <f>E21-E20</f>
        <v>77.341334125810334</v>
      </c>
      <c r="F22" s="15">
        <f>F21-F20</f>
        <v>68.90211100161828</v>
      </c>
      <c r="G22" s="15">
        <f t="shared" ref="G22" si="3">G21-G20</f>
        <v>88.835791428070877</v>
      </c>
      <c r="H22" s="15">
        <f>H21-H20</f>
        <v>55.382888248341359</v>
      </c>
      <c r="I22" s="15">
        <f>I21-I20</f>
        <v>60.345614706372807</v>
      </c>
      <c r="J22" s="15">
        <f>J21-J20</f>
        <v>25.745601499469409</v>
      </c>
      <c r="K22" s="15">
        <f>K21-K20</f>
        <v>13.020165721296621</v>
      </c>
      <c r="L22" s="38"/>
      <c r="M22" s="38"/>
      <c r="N22" s="38"/>
      <c r="P22" s="3" t="s">
        <v>33</v>
      </c>
      <c r="Q22" s="15"/>
      <c r="R22" s="15">
        <f t="shared" ref="R22" si="4">R21-R20</f>
        <v>195.54785343697142</v>
      </c>
      <c r="S22" s="15">
        <f t="shared" ref="S22" si="5">S21-S20</f>
        <v>155.7028775669113</v>
      </c>
      <c r="T22" s="15">
        <f t="shared" ref="T22" si="6">T21-T20</f>
        <v>117.86407048123604</v>
      </c>
      <c r="U22" s="15">
        <f t="shared" ref="U22" si="7">U21-U20</f>
        <v>122.12691892838862</v>
      </c>
      <c r="V22" s="15">
        <f t="shared" ref="V22" si="8">V21-V20</f>
        <v>116.34607265228928</v>
      </c>
      <c r="W22" s="15">
        <f t="shared" ref="W22" si="9">W21-W20</f>
        <v>107.36775999463069</v>
      </c>
      <c r="X22" s="15">
        <f t="shared" ref="X22" si="10">X21-X20</f>
        <v>96.188656655720038</v>
      </c>
      <c r="Y22" s="15">
        <f>Y21-Y20</f>
        <v>17.361692064225892</v>
      </c>
    </row>
    <row r="23" spans="2:25" x14ac:dyDescent="0.25">
      <c r="B23" s="30" t="s">
        <v>58</v>
      </c>
      <c r="P23" s="30" t="s">
        <v>58</v>
      </c>
    </row>
    <row r="25" spans="2:25" x14ac:dyDescent="0.25">
      <c r="B25" s="1" t="s">
        <v>74</v>
      </c>
      <c r="P25" s="1" t="s">
        <v>73</v>
      </c>
    </row>
    <row r="26" spans="2:25" ht="14.45" x14ac:dyDescent="0.3">
      <c r="B26" s="36" t="s">
        <v>35</v>
      </c>
      <c r="P26" s="36" t="s">
        <v>35</v>
      </c>
    </row>
    <row r="27" spans="2:25" x14ac:dyDescent="0.25">
      <c r="B27" s="2" t="s">
        <v>14</v>
      </c>
      <c r="C27" s="11">
        <v>2009</v>
      </c>
      <c r="D27" s="11">
        <v>2010</v>
      </c>
      <c r="E27" s="11">
        <v>2011</v>
      </c>
      <c r="F27" s="11">
        <v>2012</v>
      </c>
      <c r="G27" s="11">
        <v>2013</v>
      </c>
      <c r="H27" s="11">
        <v>2014</v>
      </c>
      <c r="I27" s="11">
        <v>2015</v>
      </c>
      <c r="J27" s="11">
        <v>2016</v>
      </c>
      <c r="K27" s="11">
        <v>2017</v>
      </c>
      <c r="L27" s="37"/>
      <c r="M27" s="37"/>
      <c r="N27" s="37"/>
      <c r="P27" s="2" t="s">
        <v>14</v>
      </c>
      <c r="Q27" s="11">
        <v>2009</v>
      </c>
      <c r="R27" s="11">
        <v>2010</v>
      </c>
      <c r="S27" s="11">
        <v>2011</v>
      </c>
      <c r="T27" s="11">
        <v>2012</v>
      </c>
      <c r="U27" s="11">
        <v>2013</v>
      </c>
      <c r="V27" s="11">
        <v>2014</v>
      </c>
      <c r="W27" s="11">
        <v>2015</v>
      </c>
      <c r="X27" s="11">
        <v>2016</v>
      </c>
      <c r="Y27" s="11">
        <v>2017</v>
      </c>
    </row>
    <row r="28" spans="2:25" x14ac:dyDescent="0.25">
      <c r="B28" s="3" t="s">
        <v>29</v>
      </c>
      <c r="C28" s="12">
        <f>'Dane wyjściowe'!C9/'Dane wyjściowe'!C6*365</f>
        <v>300.03618892011366</v>
      </c>
      <c r="D28" s="12">
        <f>'Dane wyjściowe'!D9/'Dane wyjściowe'!D6*365</f>
        <v>298.21656733854866</v>
      </c>
      <c r="E28" s="12">
        <f>'Dane wyjściowe'!E9/'Dane wyjściowe'!E6*365</f>
        <v>159.06424058296457</v>
      </c>
      <c r="F28" s="12">
        <f>'Dane wyjściowe'!F9/'Dane wyjściowe'!F6*365</f>
        <v>125.26066860302741</v>
      </c>
      <c r="G28" s="12">
        <f>'Dane wyjściowe'!G9/'Dane wyjściowe'!G6*365</f>
        <v>116.82695013436445</v>
      </c>
      <c r="H28" s="12">
        <f>'Dane wyjściowe'!H9/'Dane wyjściowe'!H6*365</f>
        <v>125.39843711942648</v>
      </c>
      <c r="I28" s="12">
        <f>'Dane wyjściowe'!I9/'Dane wyjściowe'!I6*365</f>
        <v>138.06038930279482</v>
      </c>
      <c r="J28" s="12">
        <f>'Dane wyjściowe'!J9/'Dane wyjściowe'!J6*365</f>
        <v>102.26935172580899</v>
      </c>
      <c r="K28" s="12">
        <f>'Dane wyjściowe'!K9/'Dane wyjściowe'!K6*365</f>
        <v>120.98370745237926</v>
      </c>
      <c r="L28" s="20"/>
      <c r="M28" s="20"/>
      <c r="N28" s="20"/>
      <c r="P28" s="3" t="s">
        <v>29</v>
      </c>
      <c r="Q28" s="12"/>
      <c r="R28" s="12">
        <f>R7/'Dane wyjściowe'!D6*365</f>
        <v>283.14436607816253</v>
      </c>
      <c r="S28" s="12">
        <f>S7/'Dane wyjściowe'!E6*365</f>
        <v>209.01857493266994</v>
      </c>
      <c r="T28" s="12">
        <f>T7/'Dane wyjściowe'!F6*365</f>
        <v>123.16634781880133</v>
      </c>
      <c r="U28" s="12">
        <f>U7/'Dane wyjściowe'!G6*365</f>
        <v>108.69597674603716</v>
      </c>
      <c r="V28" s="12">
        <f>V7/'Dane wyjściowe'!H6*365</f>
        <v>112.95937832040981</v>
      </c>
      <c r="W28" s="12">
        <f>W7/'Dane wyjściowe'!I6*365</f>
        <v>120.56098092729459</v>
      </c>
      <c r="X28" s="12">
        <f>X7/'Dane wyjściowe'!J6*365</f>
        <v>109.7391565890012</v>
      </c>
      <c r="Y28" s="12">
        <f>Y7/'Dane wyjściowe'!K6*365</f>
        <v>106.1545455501646</v>
      </c>
    </row>
    <row r="29" spans="2:25" x14ac:dyDescent="0.25">
      <c r="B29" s="3" t="s">
        <v>30</v>
      </c>
      <c r="C29" s="12">
        <f>'Dane wyjściowe'!C10/'Dane wyjściowe'!C5*365</f>
        <v>55.665514856611438</v>
      </c>
      <c r="D29" s="12">
        <f>'Dane wyjściowe'!D10/'Dane wyjściowe'!D5*365</f>
        <v>51.311845531081929</v>
      </c>
      <c r="E29" s="12">
        <f>'Dane wyjściowe'!E10/'Dane wyjściowe'!E5*365</f>
        <v>57.894545270248479</v>
      </c>
      <c r="F29" s="12">
        <f>'Dane wyjściowe'!F10/'Dane wyjściowe'!F5*365</f>
        <v>62.702875844174628</v>
      </c>
      <c r="G29" s="12">
        <f>'Dane wyjściowe'!G10/'Dane wyjściowe'!G5*365</f>
        <v>83.603752380232649</v>
      </c>
      <c r="H29" s="12">
        <f>'Dane wyjściowe'!H10/'Dane wyjściowe'!H5*365</f>
        <v>42.59437500828043</v>
      </c>
      <c r="I29" s="12">
        <f>'Dane wyjściowe'!I10/'Dane wyjściowe'!I5*365</f>
        <v>35.14124882113903</v>
      </c>
      <c r="J29" s="12">
        <f>'Dane wyjściowe'!J10/'Dane wyjściowe'!J5*365</f>
        <v>22.673547531395563</v>
      </c>
      <c r="K29" s="12">
        <f>'Dane wyjściowe'!K10/'Dane wyjściowe'!K5*365</f>
        <v>20.327824107825531</v>
      </c>
      <c r="L29" s="20"/>
      <c r="M29" s="20"/>
      <c r="N29" s="20"/>
      <c r="P29" s="3" t="s">
        <v>30</v>
      </c>
      <c r="Q29" s="12"/>
      <c r="R29" s="12">
        <f>R8/'Dane wyjściowe'!D5*365</f>
        <v>49.999628053962041</v>
      </c>
      <c r="S29" s="12">
        <f>S8/'Dane wyjściowe'!E5*365</f>
        <v>50.717175556692048</v>
      </c>
      <c r="T29" s="12">
        <f>T8/'Dane wyjściowe'!F5*365</f>
        <v>54.071583296417174</v>
      </c>
      <c r="U29" s="12">
        <f>U8/'Dane wyjściowe'!G5*365</f>
        <v>66.619085629978727</v>
      </c>
      <c r="V29" s="12">
        <f>V8/'Dane wyjściowe'!H5*365</f>
        <v>57.800773273252638</v>
      </c>
      <c r="W29" s="12">
        <f>W8/'Dane wyjściowe'!I5*365</f>
        <v>37.220545658389675</v>
      </c>
      <c r="X29" s="12">
        <f>X8/'Dane wyjściowe'!J5*365</f>
        <v>27.40592879756214</v>
      </c>
      <c r="Y29" s="12">
        <f>Y8/'Dane wyjściowe'!K5*365</f>
        <v>19.720669819875887</v>
      </c>
    </row>
    <row r="30" spans="2:25" x14ac:dyDescent="0.25">
      <c r="B30" s="3" t="s">
        <v>31</v>
      </c>
      <c r="C30" s="12">
        <f>'Dane wyjściowe'!C15/'Dane wyjściowe'!C6*365</f>
        <v>89.157215498457745</v>
      </c>
      <c r="D30" s="12">
        <f>'Dane wyjściowe'!D15/'Dane wyjściowe'!D6*365</f>
        <v>113.09095652871994</v>
      </c>
      <c r="E30" s="12">
        <f>'Dane wyjściowe'!E15/'Dane wyjściowe'!E6*365</f>
        <v>120.34715801099296</v>
      </c>
      <c r="F30" s="12">
        <f>'Dane wyjściowe'!F15/'Dane wyjściowe'!F6*365</f>
        <v>113.29159219125287</v>
      </c>
      <c r="G30" s="12">
        <f>'Dane wyjściowe'!G15/'Dane wyjściowe'!G6*365</f>
        <v>106.58152059974641</v>
      </c>
      <c r="H30" s="12">
        <f>'Dane wyjściowe'!H15/'Dane wyjściowe'!H6*365</f>
        <v>100.72382582592141</v>
      </c>
      <c r="I30" s="12">
        <f>'Dane wyjściowe'!I15/'Dane wyjściowe'!I6*365</f>
        <v>94.742018024231839</v>
      </c>
      <c r="J30" s="12">
        <f>'Dane wyjściowe'!J15/'Dane wyjściowe'!J6*365</f>
        <v>97.368054235143475</v>
      </c>
      <c r="K30" s="12">
        <f>'Dane wyjściowe'!K15/'Dane wyjściowe'!K6*365</f>
        <v>133.33423087845728</v>
      </c>
      <c r="L30" s="20"/>
      <c r="M30" s="20"/>
      <c r="N30" s="20"/>
      <c r="P30" s="3" t="s">
        <v>31</v>
      </c>
      <c r="Q30" s="12"/>
      <c r="R30" s="12">
        <f>R9/'Dane wyjściowe'!D6*365</f>
        <v>96.374953258391841</v>
      </c>
      <c r="S30" s="12">
        <f>S9/'Dane wyjściowe'!E6*365</f>
        <v>109.27798371236305</v>
      </c>
      <c r="T30" s="12">
        <f>T9/'Dane wyjściowe'!F6*365</f>
        <v>102.44702179802267</v>
      </c>
      <c r="U30" s="12">
        <f>U9/'Dane wyjściowe'!G6*365</f>
        <v>98.768600535664049</v>
      </c>
      <c r="V30" s="12">
        <f>V9/'Dane wyjściowe'!H6*365</f>
        <v>96.214383141108286</v>
      </c>
      <c r="W30" s="12">
        <f>W9/'Dane wyjściowe'!I6*365</f>
        <v>88.762098572371443</v>
      </c>
      <c r="X30" s="12">
        <f>X9/'Dane wyjściowe'!J6*365</f>
        <v>88.900535250655807</v>
      </c>
      <c r="Y30" s="12">
        <f>Y9/'Dane wyjściowe'!K6*365</f>
        <v>110.14140542944679</v>
      </c>
    </row>
    <row r="31" spans="2:25" ht="14.45" x14ac:dyDescent="0.3">
      <c r="B31" s="3" t="s">
        <v>32</v>
      </c>
      <c r="C31" s="12">
        <f>C28+C29</f>
        <v>355.70170377672508</v>
      </c>
      <c r="D31" s="12">
        <f>D28+D29</f>
        <v>349.52841286963059</v>
      </c>
      <c r="E31" s="12">
        <f>E28+E29</f>
        <v>216.95878585321304</v>
      </c>
      <c r="F31" s="12">
        <f>F28+F29</f>
        <v>187.96354444720203</v>
      </c>
      <c r="G31" s="12">
        <f t="shared" ref="G31" si="11">G28+G29</f>
        <v>200.4307025145971</v>
      </c>
      <c r="H31" s="12">
        <f>H28+H29</f>
        <v>167.99281212770691</v>
      </c>
      <c r="I31" s="12">
        <f>I28+I29</f>
        <v>173.20163812393383</v>
      </c>
      <c r="J31" s="12">
        <f>J28+J29</f>
        <v>124.94289925720454</v>
      </c>
      <c r="K31" s="12">
        <f>K28+K29</f>
        <v>141.3115315602048</v>
      </c>
      <c r="L31" s="38"/>
      <c r="M31" s="38"/>
      <c r="N31" s="38"/>
      <c r="P31" s="3" t="s">
        <v>32</v>
      </c>
      <c r="Q31" s="12"/>
      <c r="R31" s="12">
        <f>R28+R29</f>
        <v>333.14399413212459</v>
      </c>
      <c r="S31" s="12">
        <f>S28+S29</f>
        <v>259.73575048936198</v>
      </c>
      <c r="T31" s="12">
        <f>T28+T29</f>
        <v>177.23793111521849</v>
      </c>
      <c r="U31" s="12">
        <f t="shared" ref="U31" si="12">U28+U29</f>
        <v>175.31506237601587</v>
      </c>
      <c r="V31" s="12">
        <f>V28+V29</f>
        <v>170.76015159366244</v>
      </c>
      <c r="W31" s="12">
        <f>W28+W29</f>
        <v>157.78152658568428</v>
      </c>
      <c r="X31" s="12">
        <f>X28+X29</f>
        <v>137.14508538656332</v>
      </c>
      <c r="Y31" s="12">
        <f>Y28+Y29</f>
        <v>125.87521537004048</v>
      </c>
    </row>
    <row r="32" spans="2:25" x14ac:dyDescent="0.25">
      <c r="B32" s="3" t="s">
        <v>33</v>
      </c>
      <c r="C32" s="16">
        <f t="shared" ref="C32" si="13">C31-C30</f>
        <v>266.54448827826735</v>
      </c>
      <c r="D32" s="16">
        <f t="shared" ref="D32" si="14">D31-D30</f>
        <v>236.43745634091064</v>
      </c>
      <c r="E32" s="16">
        <f t="shared" ref="E32" si="15">E31-E30</f>
        <v>96.611627842220088</v>
      </c>
      <c r="F32" s="16">
        <f t="shared" ref="F32" si="16">F31-F30</f>
        <v>74.671952255949151</v>
      </c>
      <c r="G32" s="16">
        <f t="shared" ref="G32" si="17">G31-G30</f>
        <v>93.849181914850689</v>
      </c>
      <c r="H32" s="16">
        <f t="shared" ref="H32" si="18">H31-H30</f>
        <v>67.268986301785503</v>
      </c>
      <c r="I32" s="16">
        <f t="shared" ref="I32" si="19">I31-I30</f>
        <v>78.459620099701993</v>
      </c>
      <c r="J32" s="16">
        <f t="shared" ref="J32" si="20">J31-J30</f>
        <v>27.574845022061069</v>
      </c>
      <c r="K32" s="16">
        <f>K31-K30</f>
        <v>7.977300681747522</v>
      </c>
      <c r="L32" s="38"/>
      <c r="M32" s="38"/>
      <c r="N32" s="38"/>
      <c r="P32" s="3" t="s">
        <v>33</v>
      </c>
      <c r="Q32" s="16"/>
      <c r="R32" s="16">
        <f t="shared" ref="R32" si="21">R31-R30</f>
        <v>236.76904087373276</v>
      </c>
      <c r="S32" s="16">
        <f t="shared" ref="S32" si="22">S31-S30</f>
        <v>150.45776677699894</v>
      </c>
      <c r="T32" s="16">
        <f t="shared" ref="T32" si="23">T31-T30</f>
        <v>74.790909317195812</v>
      </c>
      <c r="U32" s="16">
        <f t="shared" ref="U32" si="24">U31-U30</f>
        <v>76.546461840351824</v>
      </c>
      <c r="V32" s="16">
        <f t="shared" ref="V32" si="25">V31-V30</f>
        <v>74.545768452554157</v>
      </c>
      <c r="W32" s="16">
        <f t="shared" ref="W32" si="26">W31-W30</f>
        <v>69.019428013312833</v>
      </c>
      <c r="X32" s="16">
        <f t="shared" ref="X32" si="27">X31-X30</f>
        <v>48.244550135907517</v>
      </c>
      <c r="Y32" s="16">
        <f>Y31-Y30</f>
        <v>15.733809940593687</v>
      </c>
    </row>
    <row r="33" spans="2:25" x14ac:dyDescent="0.25">
      <c r="B33" s="30" t="s">
        <v>58</v>
      </c>
      <c r="L33" s="39"/>
      <c r="M33" s="39"/>
      <c r="N33" s="39"/>
      <c r="P33" s="30" t="s">
        <v>58</v>
      </c>
    </row>
    <row r="34" spans="2:25" ht="14.45" x14ac:dyDescent="0.3">
      <c r="L34" s="39"/>
      <c r="M34" s="39"/>
      <c r="N34" s="39"/>
    </row>
    <row r="35" spans="2:25" ht="14.45" x14ac:dyDescent="0.3">
      <c r="L35" s="39"/>
      <c r="M35" s="39"/>
      <c r="N35" s="39"/>
    </row>
    <row r="36" spans="2:25" x14ac:dyDescent="0.25">
      <c r="B36" s="1" t="s">
        <v>75</v>
      </c>
      <c r="L36" s="39"/>
      <c r="M36" s="39"/>
      <c r="N36" s="39"/>
      <c r="P36" s="1" t="s">
        <v>76</v>
      </c>
    </row>
    <row r="37" spans="2:25" ht="14.45" x14ac:dyDescent="0.3">
      <c r="B37" s="36" t="s">
        <v>36</v>
      </c>
      <c r="L37" s="39"/>
      <c r="M37" s="39"/>
      <c r="N37" s="39"/>
      <c r="P37" s="36" t="s">
        <v>36</v>
      </c>
    </row>
    <row r="38" spans="2:25" x14ac:dyDescent="0.25">
      <c r="B38" s="2" t="s">
        <v>14</v>
      </c>
      <c r="C38" s="11">
        <v>2009</v>
      </c>
      <c r="D38" s="11">
        <v>2010</v>
      </c>
      <c r="E38" s="11">
        <v>2011</v>
      </c>
      <c r="F38" s="11">
        <v>2012</v>
      </c>
      <c r="G38" s="11">
        <v>2013</v>
      </c>
      <c r="H38" s="11">
        <v>2014</v>
      </c>
      <c r="I38" s="11">
        <v>2015</v>
      </c>
      <c r="J38" s="11">
        <v>2016</v>
      </c>
      <c r="K38" s="11">
        <v>2017</v>
      </c>
      <c r="L38" s="40"/>
      <c r="M38" s="40"/>
      <c r="N38" s="40"/>
      <c r="P38" s="2" t="s">
        <v>14</v>
      </c>
      <c r="Q38" s="11">
        <v>2009</v>
      </c>
      <c r="R38" s="11">
        <v>2010</v>
      </c>
      <c r="S38" s="11">
        <v>2011</v>
      </c>
      <c r="T38" s="11">
        <v>2012</v>
      </c>
      <c r="U38" s="11">
        <v>2013</v>
      </c>
      <c r="V38" s="11">
        <v>2014</v>
      </c>
      <c r="W38" s="11">
        <v>2015</v>
      </c>
      <c r="X38" s="11">
        <v>2016</v>
      </c>
      <c r="Y38" s="11">
        <v>2017</v>
      </c>
    </row>
    <row r="39" spans="2:25" x14ac:dyDescent="0.25">
      <c r="B39" s="3" t="s">
        <v>29</v>
      </c>
      <c r="C39" s="12">
        <f>'Dane wyjściowe'!C9/('Dane wyjściowe'!C6-'Dane wyjściowe'!C18)*365</f>
        <v>320.52731555448901</v>
      </c>
      <c r="D39" s="12">
        <f>'Dane wyjściowe'!D9/('Dane wyjściowe'!D6-'Dane wyjściowe'!D18)*365</f>
        <v>331.90708547741065</v>
      </c>
      <c r="E39" s="12">
        <f>'Dane wyjściowe'!E9/('Dane wyjściowe'!E6-'Dane wyjściowe'!E18)*365</f>
        <v>174.32936594507049</v>
      </c>
      <c r="F39" s="12">
        <f>'Dane wyjściowe'!F9/('Dane wyjściowe'!F6-'Dane wyjściowe'!F18)*365</f>
        <v>135.57852941598784</v>
      </c>
      <c r="G39" s="12">
        <f>'Dane wyjściowe'!G9/('Dane wyjściowe'!G6-'Dane wyjściowe'!G18)*365</f>
        <v>127.41058623299421</v>
      </c>
      <c r="H39" s="12">
        <f>'Dane wyjściowe'!H9/('Dane wyjściowe'!H6-'Dane wyjściowe'!H18)*365</f>
        <v>138.31866949764347</v>
      </c>
      <c r="I39" s="12">
        <f>'Dane wyjściowe'!I9/('Dane wyjściowe'!I6-'Dane wyjściowe'!I18)*365</f>
        <v>151.48446171645296</v>
      </c>
      <c r="J39" s="12">
        <f>'Dane wyjściowe'!J9/('Dane wyjściowe'!J6-'Dane wyjściowe'!J18)*365</f>
        <v>112.38164004313413</v>
      </c>
      <c r="K39" s="12">
        <f>'Dane wyjściowe'!K9/('Dane wyjściowe'!K6-'Dane wyjściowe'!K18)*365</f>
        <v>132.6838347011996</v>
      </c>
      <c r="L39" s="38"/>
      <c r="M39" s="38"/>
      <c r="N39" s="38"/>
      <c r="P39" s="3" t="s">
        <v>29</v>
      </c>
      <c r="Q39" s="12"/>
      <c r="R39" s="12">
        <f>R7/('Dane wyjściowe'!D6-'Dane wyjściowe'!D18)*365</f>
        <v>315.13212747722486</v>
      </c>
      <c r="S39" s="12">
        <f>S7/('Dane wyjściowe'!E6-'Dane wyjściowe'!E18)*365</f>
        <v>229.07773302918588</v>
      </c>
      <c r="T39" s="12">
        <f>T7/('Dane wyjściowe'!F6-'Dane wyjściowe'!F18)*365</f>
        <v>133.31169709569596</v>
      </c>
      <c r="U39" s="12">
        <f>U7/('Dane wyjściowe'!G6-'Dane wyjściowe'!G18)*365</f>
        <v>118.54300829091692</v>
      </c>
      <c r="V39" s="12">
        <f>V7/('Dane wyjściowe'!H6-'Dane wyjściowe'!H18)*365</f>
        <v>124.59797167710904</v>
      </c>
      <c r="W39" s="12">
        <f>W7/('Dane wyjściowe'!I6-'Dane wyjściowe'!I18)*365</f>
        <v>132.28352746220361</v>
      </c>
      <c r="X39" s="12">
        <f>X7/('Dane wyjściowe'!J6-'Dane wyjściowe'!J18)*365</f>
        <v>120.59005152870209</v>
      </c>
      <c r="Y39" s="12">
        <f>Y7/('Dane wyjściowe'!K6-'Dane wyjściowe'!K18)*365</f>
        <v>116.42056993585716</v>
      </c>
    </row>
    <row r="40" spans="2:25" x14ac:dyDescent="0.25">
      <c r="B40" s="3" t="s">
        <v>30</v>
      </c>
      <c r="C40" s="12">
        <f>C19</f>
        <v>55.665514856611438</v>
      </c>
      <c r="D40" s="12">
        <f>D19</f>
        <v>51.311845531081929</v>
      </c>
      <c r="E40" s="12">
        <f>E19</f>
        <v>57.894545270248479</v>
      </c>
      <c r="F40" s="12">
        <f>F19</f>
        <v>62.702875844174628</v>
      </c>
      <c r="G40" s="12">
        <f t="shared" ref="G40" si="28">G19</f>
        <v>83.603752380232649</v>
      </c>
      <c r="H40" s="12">
        <f>H19</f>
        <v>42.59437500828043</v>
      </c>
      <c r="I40" s="12">
        <f>I19</f>
        <v>35.14124882113903</v>
      </c>
      <c r="J40" s="12">
        <f>J19</f>
        <v>22.673547531395563</v>
      </c>
      <c r="K40" s="12">
        <f>K19</f>
        <v>20.327824107825531</v>
      </c>
      <c r="L40" s="38"/>
      <c r="M40" s="38"/>
      <c r="N40" s="38"/>
      <c r="P40" s="3" t="s">
        <v>30</v>
      </c>
      <c r="Q40" s="12"/>
      <c r="R40" s="12">
        <f>R8/'Dane wyjściowe'!D5*365</f>
        <v>49.999628053962041</v>
      </c>
      <c r="S40" s="12">
        <f>S8/'Dane wyjściowe'!E5*365</f>
        <v>50.717175556692048</v>
      </c>
      <c r="T40" s="12">
        <f>T8/'Dane wyjściowe'!F5*365</f>
        <v>54.071583296417174</v>
      </c>
      <c r="U40" s="12">
        <f>U8/'Dane wyjściowe'!G5*365</f>
        <v>66.619085629978727</v>
      </c>
      <c r="V40" s="12">
        <f>V8/'Dane wyjściowe'!H5*365</f>
        <v>57.800773273252638</v>
      </c>
      <c r="W40" s="12">
        <f>W8/'Dane wyjściowe'!I5*365</f>
        <v>37.220545658389675</v>
      </c>
      <c r="X40" s="12">
        <f>X8/'Dane wyjściowe'!J5*365</f>
        <v>27.40592879756214</v>
      </c>
      <c r="Y40" s="12">
        <f>Y8/'Dane wyjściowe'!K5*365</f>
        <v>19.720669819875887</v>
      </c>
    </row>
    <row r="41" spans="2:25" x14ac:dyDescent="0.25">
      <c r="B41" s="3" t="s">
        <v>31</v>
      </c>
      <c r="C41" s="12">
        <f>'Dane wyjściowe'!C15/('Dane wyjściowe'!C6-'Dane wyjściowe'!C18)*365</f>
        <v>95.246253623234168</v>
      </c>
      <c r="D41" s="12">
        <f>'Dane wyjściowe'!D15/('Dane wyjściowe'!D6-'Dane wyjściowe'!D18)*365</f>
        <v>125.86721827794294</v>
      </c>
      <c r="E41" s="12">
        <f>'Dane wyjściowe'!E15/('Dane wyjściowe'!E6-'Dane wyjściowe'!E18)*365</f>
        <v>131.89667063103892</v>
      </c>
      <c r="F41" s="12">
        <f>'Dane wyjściowe'!F15/('Dane wyjściowe'!F6-'Dane wyjściowe'!F18)*365</f>
        <v>122.62354684664872</v>
      </c>
      <c r="G41" s="12">
        <f>'Dane wyjściowe'!G15/('Dane wyjściowe'!G6-'Dane wyjściowe'!G18)*365</f>
        <v>116.23699844598801</v>
      </c>
      <c r="H41" s="12">
        <f>'Dane wyjściowe'!H15/('Dane wyjściowe'!H6-'Dane wyjściowe'!H18)*365</f>
        <v>111.1017481157707</v>
      </c>
      <c r="I41" s="12">
        <f>'Dane wyjściowe'!I15/('Dane wyjściowe'!I6-'Dane wyjściowe'!I18)*365</f>
        <v>103.95410062805547</v>
      </c>
      <c r="J41" s="12">
        <f>'Dane wyjściowe'!J15/('Dane wyjściowe'!J6-'Dane wyjściowe'!J18)*365</f>
        <v>106.99570729744642</v>
      </c>
      <c r="K41" s="12">
        <f>'Dane wyjściowe'!K15/('Dane wyjściowe'!K6-'Dane wyjściowe'!K18)*365</f>
        <v>146.22875610629083</v>
      </c>
      <c r="L41" s="38"/>
      <c r="M41" s="38"/>
      <c r="N41" s="38"/>
      <c r="P41" s="3" t="s">
        <v>31</v>
      </c>
      <c r="Q41" s="12"/>
      <c r="R41" s="12">
        <f>R9/('Dane wyjściowe'!D6-'Dane wyjściowe'!D18)*365</f>
        <v>107.26275248383786</v>
      </c>
      <c r="S41" s="12">
        <f>S9/('Dane wyjściowe'!E6-'Dane wyjściowe'!E18)*365</f>
        <v>119.76520645063353</v>
      </c>
      <c r="T41" s="12">
        <f>T9/('Dane wyjściowe'!F6-'Dane wyjściowe'!F18)*365</f>
        <v>110.8856971092989</v>
      </c>
      <c r="U41" s="12">
        <f>U9/('Dane wyjściowe'!G6-'Dane wyjściowe'!G18)*365</f>
        <v>107.716287048392</v>
      </c>
      <c r="V41" s="12">
        <f>V9/('Dane wyjściowe'!H6-'Dane wyjściowe'!H18)*365</f>
        <v>106.12768203753723</v>
      </c>
      <c r="W41" s="12">
        <f>W9/('Dane wyjściowe'!I6-'Dane wyjściowe'!I18)*365</f>
        <v>97.392733650550639</v>
      </c>
      <c r="X41" s="12">
        <f>X9/('Dane wyjściowe'!J6-'Dane wyjściowe'!J18)*365</f>
        <v>97.690928744391897</v>
      </c>
      <c r="Y41" s="12">
        <f>Y9/('Dane wyjściowe'!K6-'Dane wyjściowe'!K18)*365</f>
        <v>120.79299220939131</v>
      </c>
    </row>
    <row r="42" spans="2:25" ht="14.45" x14ac:dyDescent="0.3">
      <c r="B42" s="3" t="s">
        <v>32</v>
      </c>
      <c r="C42" s="12">
        <f>C39+C40</f>
        <v>376.19283041110043</v>
      </c>
      <c r="D42" s="12">
        <f>D39+D40</f>
        <v>383.21893100849258</v>
      </c>
      <c r="E42" s="12">
        <f>E39+E40</f>
        <v>232.22391121531896</v>
      </c>
      <c r="F42" s="12">
        <f>F39+F40</f>
        <v>198.28140526016247</v>
      </c>
      <c r="G42" s="12">
        <f t="shared" ref="G42" si="29">G39+G40</f>
        <v>211.01433861322687</v>
      </c>
      <c r="H42" s="12">
        <f>H39+H40</f>
        <v>180.91304450592389</v>
      </c>
      <c r="I42" s="12">
        <f>I39+I40</f>
        <v>186.625710537592</v>
      </c>
      <c r="J42" s="12">
        <f>J39+J40</f>
        <v>135.0551875745297</v>
      </c>
      <c r="K42" s="12">
        <f>K39+K40</f>
        <v>153.01165880902514</v>
      </c>
      <c r="L42" s="38"/>
      <c r="M42" s="38"/>
      <c r="N42" s="38"/>
      <c r="P42" s="3" t="s">
        <v>32</v>
      </c>
      <c r="Q42" s="12"/>
      <c r="R42" s="12">
        <f>R39+R40</f>
        <v>365.13175553118691</v>
      </c>
      <c r="S42" s="12">
        <f>S39+S40</f>
        <v>279.79490858587792</v>
      </c>
      <c r="T42" s="12">
        <f>T39+T40</f>
        <v>187.38328039211314</v>
      </c>
      <c r="U42" s="12">
        <f t="shared" ref="U42" si="30">U39+U40</f>
        <v>185.16209392089564</v>
      </c>
      <c r="V42" s="12">
        <f>V39+V40</f>
        <v>182.39874495036167</v>
      </c>
      <c r="W42" s="12">
        <f>W39+W40</f>
        <v>169.50407312059329</v>
      </c>
      <c r="X42" s="12">
        <f>X39+X40</f>
        <v>147.99598032626423</v>
      </c>
      <c r="Y42" s="12">
        <f>Y39+Y40</f>
        <v>136.14123975573304</v>
      </c>
    </row>
    <row r="43" spans="2:25" x14ac:dyDescent="0.25">
      <c r="B43" s="3" t="s">
        <v>33</v>
      </c>
      <c r="C43" s="17">
        <f t="shared" ref="C43" si="31">C42-C41</f>
        <v>280.94657678786626</v>
      </c>
      <c r="D43" s="17">
        <f t="shared" ref="D43" si="32">D42-D41</f>
        <v>257.35171273054965</v>
      </c>
      <c r="E43" s="17">
        <f t="shared" ref="E43" si="33">E42-E41</f>
        <v>100.32724058428005</v>
      </c>
      <c r="F43" s="17">
        <f t="shared" ref="F43" si="34">F42-F41</f>
        <v>75.65785841351375</v>
      </c>
      <c r="G43" s="17">
        <f t="shared" ref="G43" si="35">G42-G41</f>
        <v>94.777340167238862</v>
      </c>
      <c r="H43" s="17">
        <f t="shared" ref="H43" si="36">H42-H41</f>
        <v>69.811296390153188</v>
      </c>
      <c r="I43" s="17">
        <f t="shared" ref="I43" si="37">I42-I41</f>
        <v>82.671609909536528</v>
      </c>
      <c r="J43" s="17">
        <f t="shared" ref="J43" si="38">J42-J41</f>
        <v>28.059480277083281</v>
      </c>
      <c r="K43" s="17">
        <f>K42-K41</f>
        <v>6.7829027027343045</v>
      </c>
      <c r="L43" s="38"/>
      <c r="M43" s="38"/>
      <c r="N43" s="38"/>
      <c r="P43" s="3" t="s">
        <v>33</v>
      </c>
      <c r="Q43" s="17"/>
      <c r="R43" s="17">
        <f t="shared" ref="R43" si="39">R42-R41</f>
        <v>257.86900304734905</v>
      </c>
      <c r="S43" s="17">
        <f t="shared" ref="S43" si="40">S42-S41</f>
        <v>160.02970213524441</v>
      </c>
      <c r="T43" s="17">
        <f t="shared" ref="T43" si="41">T42-T41</f>
        <v>76.497583282814233</v>
      </c>
      <c r="U43" s="17">
        <f t="shared" ref="U43" si="42">U42-U41</f>
        <v>77.445806872503638</v>
      </c>
      <c r="V43" s="17">
        <f t="shared" ref="V43" si="43">V42-V41</f>
        <v>76.271062912824448</v>
      </c>
      <c r="W43" s="17">
        <f t="shared" ref="W43" si="44">W42-W41</f>
        <v>72.111339470042651</v>
      </c>
      <c r="X43" s="17">
        <f t="shared" ref="X43" si="45">X42-X41</f>
        <v>50.305051581872334</v>
      </c>
      <c r="Y43" s="17">
        <f>Y42-Y41</f>
        <v>15.348247546341725</v>
      </c>
    </row>
    <row r="44" spans="2:25" x14ac:dyDescent="0.25">
      <c r="B44" s="30" t="s">
        <v>58</v>
      </c>
      <c r="L44" s="39"/>
      <c r="M44" s="39"/>
      <c r="N44" s="39"/>
      <c r="P44" s="30" t="s">
        <v>58</v>
      </c>
    </row>
    <row r="45" spans="2:25" ht="14.45" x14ac:dyDescent="0.3">
      <c r="L45" s="39"/>
      <c r="M45" s="39"/>
      <c r="N45" s="39"/>
    </row>
    <row r="46" spans="2:25" ht="14.45" x14ac:dyDescent="0.3">
      <c r="L46" s="39"/>
      <c r="M46" s="39"/>
      <c r="N46" s="39"/>
    </row>
    <row r="47" spans="2:25" x14ac:dyDescent="0.25">
      <c r="B47" s="1" t="s">
        <v>77</v>
      </c>
      <c r="L47" s="39"/>
      <c r="M47" s="39"/>
      <c r="N47" s="39"/>
      <c r="P47" s="1" t="s">
        <v>78</v>
      </c>
    </row>
    <row r="48" spans="2:25" ht="14.45" x14ac:dyDescent="0.3">
      <c r="B48" s="36" t="s">
        <v>41</v>
      </c>
      <c r="L48" s="39"/>
      <c r="M48" s="39"/>
      <c r="N48" s="39"/>
      <c r="P48" s="36" t="s">
        <v>41</v>
      </c>
    </row>
    <row r="49" spans="2:25" x14ac:dyDescent="0.25">
      <c r="B49" s="2" t="s">
        <v>14</v>
      </c>
      <c r="C49" s="11">
        <v>2009</v>
      </c>
      <c r="D49" s="11">
        <v>2010</v>
      </c>
      <c r="E49" s="11">
        <v>2011</v>
      </c>
      <c r="F49" s="11">
        <v>2012</v>
      </c>
      <c r="G49" s="11">
        <v>2013</v>
      </c>
      <c r="H49" s="11">
        <v>2014</v>
      </c>
      <c r="I49" s="11">
        <v>2015</v>
      </c>
      <c r="J49" s="11">
        <v>2016</v>
      </c>
      <c r="K49" s="11">
        <v>2017</v>
      </c>
      <c r="L49" s="40"/>
      <c r="M49" s="40"/>
      <c r="N49" s="40"/>
      <c r="P49" s="2" t="s">
        <v>14</v>
      </c>
      <c r="Q49" s="11">
        <v>2009</v>
      </c>
      <c r="R49" s="11">
        <v>2010</v>
      </c>
      <c r="S49" s="11">
        <v>2011</v>
      </c>
      <c r="T49" s="11">
        <v>2012</v>
      </c>
      <c r="U49" s="11">
        <v>2013</v>
      </c>
      <c r="V49" s="11">
        <v>2014</v>
      </c>
      <c r="W49" s="11">
        <v>2015</v>
      </c>
      <c r="X49" s="11">
        <v>2016</v>
      </c>
      <c r="Y49" s="11">
        <v>2017</v>
      </c>
    </row>
    <row r="50" spans="2:25" x14ac:dyDescent="0.25">
      <c r="B50" s="3" t="s">
        <v>29</v>
      </c>
      <c r="C50" s="12">
        <f>'Dane wyjściowe'!C9/('Dane wyjściowe'!C6-'Dane wyjściowe'!C18-'Dane wyjściowe'!C19)*365</f>
        <v>378.59704948211532</v>
      </c>
      <c r="D50" s="12">
        <f>'Dane wyjściowe'!D9/('Dane wyjściowe'!D6-'Dane wyjściowe'!D18-'Dane wyjściowe'!D19)*365</f>
        <v>389.79915639195326</v>
      </c>
      <c r="E50" s="12">
        <f>'Dane wyjściowe'!E9/('Dane wyjściowe'!E6-'Dane wyjściowe'!E18-'Dane wyjściowe'!E19)*365</f>
        <v>207.60331726262382</v>
      </c>
      <c r="F50" s="12">
        <f>'Dane wyjściowe'!F9/('Dane wyjściowe'!F6-'Dane wyjściowe'!F18-'Dane wyjściowe'!F19)*365</f>
        <v>156.06614506399987</v>
      </c>
      <c r="G50" s="12">
        <f>'Dane wyjściowe'!G9/('Dane wyjściowe'!G6-'Dane wyjściowe'!G18-'Dane wyjściowe'!G19)*365</f>
        <v>146.09564069599693</v>
      </c>
      <c r="H50" s="12">
        <f>'Dane wyjściowe'!H9/('Dane wyjściowe'!H6-'Dane wyjściowe'!H18-'Dane wyjściowe'!H19)*365</f>
        <v>161.54043901326708</v>
      </c>
      <c r="I50" s="12">
        <f>'Dane wyjściowe'!I9/('Dane wyjściowe'!I6-'Dane wyjściowe'!I18-'Dane wyjściowe'!I19)*365</f>
        <v>179.06897883174599</v>
      </c>
      <c r="J50" s="12">
        <f>'Dane wyjściowe'!J9/('Dane wyjściowe'!J6-'Dane wyjściowe'!J18-'Dane wyjściowe'!J19)*365</f>
        <v>135.74181557323593</v>
      </c>
      <c r="K50" s="12">
        <f>'Dane wyjściowe'!K9/('Dane wyjściowe'!K6-'Dane wyjściowe'!K18-'Dane wyjściowe'!K19)*365</f>
        <v>173.0727113428388</v>
      </c>
      <c r="L50" s="38"/>
      <c r="M50" s="38"/>
      <c r="N50" s="38"/>
      <c r="P50" s="3" t="s">
        <v>29</v>
      </c>
      <c r="Q50" s="12"/>
      <c r="R50" s="12">
        <f>R7/('Dane wyjściowe'!D6-'Dane wyjściowe'!D18-'Dane wyjściowe'!D19)*365</f>
        <v>370.09826791113812</v>
      </c>
      <c r="S50" s="12">
        <f>S7/('Dane wyjściowe'!E6-'Dane wyjściowe'!E18-'Dane wyjściowe'!E19)*365</f>
        <v>272.80141260219784</v>
      </c>
      <c r="T50" s="12">
        <f>T7/('Dane wyjściowe'!F6-'Dane wyjściowe'!F18-'Dane wyjściowe'!F19)*365</f>
        <v>153.4567659590756</v>
      </c>
      <c r="U50" s="12">
        <f>U7/('Dane wyjściowe'!G6-'Dane wyjściowe'!G18-'Dane wyjściowe'!G19)*365</f>
        <v>135.92761212653113</v>
      </c>
      <c r="V50" s="12">
        <f>V7/('Dane wyjściowe'!H6-'Dane wyjściowe'!H18-'Dane wyjściowe'!H19)*365</f>
        <v>145.51622798269992</v>
      </c>
      <c r="W50" s="12">
        <f>W7/('Dane wyjściowe'!I6-'Dane wyjściowe'!I18-'Dane wyjściowe'!I19)*365</f>
        <v>156.37165627757088</v>
      </c>
      <c r="X50" s="12">
        <f>X7/('Dane wyjściowe'!J6-'Dane wyjściowe'!J18-'Dane wyjściowe'!J19)*365</f>
        <v>145.65646602321638</v>
      </c>
      <c r="Y50" s="12">
        <f>Y7/('Dane wyjściowe'!K6-'Dane wyjściowe'!K18-'Dane wyjściowe'!K19)*365</f>
        <v>151.85891891241226</v>
      </c>
    </row>
    <row r="51" spans="2:25" x14ac:dyDescent="0.25">
      <c r="B51" s="3" t="s">
        <v>30</v>
      </c>
      <c r="C51" s="12">
        <f>C29</f>
        <v>55.665514856611438</v>
      </c>
      <c r="D51" s="12">
        <f>D29</f>
        <v>51.311845531081929</v>
      </c>
      <c r="E51" s="12">
        <f>E29</f>
        <v>57.894545270248479</v>
      </c>
      <c r="F51" s="12">
        <f>F29</f>
        <v>62.702875844174628</v>
      </c>
      <c r="G51" s="12">
        <f t="shared" ref="G51" si="46">G29</f>
        <v>83.603752380232649</v>
      </c>
      <c r="H51" s="12">
        <f>H29</f>
        <v>42.59437500828043</v>
      </c>
      <c r="I51" s="12">
        <f>I29</f>
        <v>35.14124882113903</v>
      </c>
      <c r="J51" s="12">
        <f>J29</f>
        <v>22.673547531395563</v>
      </c>
      <c r="K51" s="12">
        <f>K29</f>
        <v>20.327824107825531</v>
      </c>
      <c r="L51" s="38"/>
      <c r="M51" s="38"/>
      <c r="N51" s="38"/>
      <c r="P51" s="3" t="s">
        <v>30</v>
      </c>
      <c r="Q51" s="12"/>
      <c r="R51" s="12">
        <f>R29</f>
        <v>49.999628053962041</v>
      </c>
      <c r="S51" s="12">
        <f>S29</f>
        <v>50.717175556692048</v>
      </c>
      <c r="T51" s="12">
        <f>T29</f>
        <v>54.071583296417174</v>
      </c>
      <c r="U51" s="12">
        <f t="shared" ref="U51" si="47">U29</f>
        <v>66.619085629978727</v>
      </c>
      <c r="V51" s="12">
        <f>V29</f>
        <v>57.800773273252638</v>
      </c>
      <c r="W51" s="12">
        <f>W29</f>
        <v>37.220545658389675</v>
      </c>
      <c r="X51" s="12">
        <f>X29</f>
        <v>27.40592879756214</v>
      </c>
      <c r="Y51" s="12">
        <f>+Y40</f>
        <v>19.720669819875887</v>
      </c>
    </row>
    <row r="52" spans="2:25" x14ac:dyDescent="0.25">
      <c r="B52" s="3" t="s">
        <v>31</v>
      </c>
      <c r="C52" s="12">
        <f>'Dane wyjściowe'!C15/('Dane wyjściowe'!C6-'Dane wyjściowe'!C18-'Dane wyjściowe'!C19)*365</f>
        <v>112.50195801128709</v>
      </c>
      <c r="D52" s="12">
        <f>'Dane wyjściowe'!D15/('Dane wyjściowe'!D6-'Dane wyjściowe'!D18-'Dane wyjściowe'!D19)*365</f>
        <v>147.82129592555262</v>
      </c>
      <c r="E52" s="12">
        <f>'Dane wyjściowe'!E15/('Dane wyjściowe'!E6-'Dane wyjściowe'!E18-'Dane wyjściowe'!E19)*365</f>
        <v>157.07156514024857</v>
      </c>
      <c r="F52" s="12">
        <f>'Dane wyjściowe'!F15/('Dane wyjściowe'!F6-'Dane wyjściowe'!F18-'Dane wyjściowe'!F19)*365</f>
        <v>141.15350220176177</v>
      </c>
      <c r="G52" s="12">
        <f>'Dane wyjściowe'!G15/('Dane wyjściowe'!G6-'Dane wyjściowe'!G18-'Dane wyjściowe'!G19)*365</f>
        <v>133.28342065306842</v>
      </c>
      <c r="H52" s="12">
        <f>'Dane wyjściowe'!H15/('Dane wyjściowe'!H6-'Dane wyjściowe'!H18-'Dane wyjściowe'!H19)*365</f>
        <v>129.75417729902892</v>
      </c>
      <c r="I52" s="12">
        <f>'Dane wyjściowe'!I15/('Dane wyjściowe'!I6-'Dane wyjściowe'!I18-'Dane wyjściowe'!I19)*365</f>
        <v>122.88359105557464</v>
      </c>
      <c r="J52" s="12">
        <f>'Dane wyjściowe'!J15/('Dane wyjściowe'!J6-'Dane wyjściowe'!J18-'Dane wyjściowe'!J19)*365</f>
        <v>129.23633755054126</v>
      </c>
      <c r="K52" s="12">
        <f>'Dane wyjściowe'!K15/('Dane wyjściowe'!K6-'Dane wyjściowe'!K18-'Dane wyjściowe'!K19)*365</f>
        <v>190.74069838725902</v>
      </c>
      <c r="L52" s="38"/>
      <c r="M52" s="38"/>
      <c r="N52" s="38"/>
      <c r="O52" s="39"/>
      <c r="P52" s="3" t="s">
        <v>31</v>
      </c>
      <c r="Q52" s="12"/>
      <c r="R52" s="12">
        <f>R9/('Dane wyjściowe'!D6-'Dane wyjściowe'!D18-'Dane wyjściowe'!D19)*365</f>
        <v>125.97179228740663</v>
      </c>
      <c r="S52" s="12">
        <f>S9/('Dane wyjściowe'!E6-'Dane wyjściowe'!E18-'Dane wyjściowe'!E19)*365</f>
        <v>142.62458890390738</v>
      </c>
      <c r="T52" s="12">
        <f>T9/('Dane wyjściowe'!F6-'Dane wyjściowe'!F18-'Dane wyjściowe'!F19)*365</f>
        <v>127.64191620256557</v>
      </c>
      <c r="U52" s="12">
        <f>U9/('Dane wyjściowe'!G6-'Dane wyjściowe'!G18-'Dane wyjściowe'!G19)*365</f>
        <v>123.51312740176004</v>
      </c>
      <c r="V52" s="12">
        <f>V9/('Dane wyjściowe'!H6-'Dane wyjściowe'!H18-'Dane wyjściowe'!H19)*365</f>
        <v>123.94503511397831</v>
      </c>
      <c r="W52" s="12">
        <f>W9/('Dane wyjściowe'!I6-'Dane wyjściowe'!I18-'Dane wyjściowe'!I19)*365</f>
        <v>115.12743394817859</v>
      </c>
      <c r="X52" s="12">
        <f>X9/('Dane wyjściowe'!J6-'Dane wyjściowe'!J18-'Dane wyjściowe'!J19)*365</f>
        <v>117.99742402504239</v>
      </c>
      <c r="Y52" s="12">
        <f>Y9/('Dane wyjściowe'!K6-'Dane wyjściowe'!K18-'Dane wyjściowe'!K19)*365</f>
        <v>157.56230380267073</v>
      </c>
    </row>
    <row r="53" spans="2:25" ht="14.45" x14ac:dyDescent="0.3">
      <c r="B53" s="3" t="s">
        <v>32</v>
      </c>
      <c r="C53" s="12">
        <f>C50+C51</f>
        <v>434.26256433872675</v>
      </c>
      <c r="D53" s="12">
        <f>D50+D51</f>
        <v>441.11100192303519</v>
      </c>
      <c r="E53" s="12">
        <f>E50+E51</f>
        <v>265.49786253287232</v>
      </c>
      <c r="F53" s="12">
        <f>F50+F51</f>
        <v>218.7690209081745</v>
      </c>
      <c r="G53" s="12">
        <f t="shared" ref="G53" si="48">G50+G51</f>
        <v>229.69939307622957</v>
      </c>
      <c r="H53" s="12">
        <f>H50+H51</f>
        <v>204.1348140215475</v>
      </c>
      <c r="I53" s="12">
        <f>I50+I51</f>
        <v>214.21022765288501</v>
      </c>
      <c r="J53" s="12">
        <f>J50+J51</f>
        <v>158.4153631046315</v>
      </c>
      <c r="K53" s="12">
        <f>K50+K51</f>
        <v>193.40053545066434</v>
      </c>
      <c r="L53" s="38"/>
      <c r="M53" s="38"/>
      <c r="N53" s="38"/>
      <c r="O53" s="39"/>
      <c r="P53" s="3" t="s">
        <v>32</v>
      </c>
      <c r="Q53" s="12"/>
      <c r="R53" s="12">
        <f>R50+R51</f>
        <v>420.09789596510018</v>
      </c>
      <c r="S53" s="12">
        <f>S50+S51</f>
        <v>323.51858815888988</v>
      </c>
      <c r="T53" s="12">
        <f>T50+T51</f>
        <v>207.52834925549277</v>
      </c>
      <c r="U53" s="12">
        <f t="shared" ref="U53" si="49">U50+U51</f>
        <v>202.54669775650984</v>
      </c>
      <c r="V53" s="12">
        <f>V50+V51</f>
        <v>203.31700125595256</v>
      </c>
      <c r="W53" s="12">
        <f>W50+W51</f>
        <v>193.59220193596056</v>
      </c>
      <c r="X53" s="12">
        <f>X50+X51</f>
        <v>173.06239482077854</v>
      </c>
      <c r="Y53" s="12">
        <f>Y50+Y51</f>
        <v>171.57958873228816</v>
      </c>
    </row>
    <row r="54" spans="2:25" x14ac:dyDescent="0.25">
      <c r="B54" s="3" t="s">
        <v>33</v>
      </c>
      <c r="C54" s="18">
        <f t="shared" ref="C54" si="50">C53-C52</f>
        <v>321.76060632743963</v>
      </c>
      <c r="D54" s="18">
        <f t="shared" ref="D54" si="51">D53-D52</f>
        <v>293.28970599748254</v>
      </c>
      <c r="E54" s="18">
        <f t="shared" ref="E54" si="52">E53-E52</f>
        <v>108.42629739262375</v>
      </c>
      <c r="F54" s="18">
        <f t="shared" ref="F54" si="53">F53-F52</f>
        <v>77.615518706412729</v>
      </c>
      <c r="G54" s="18">
        <f t="shared" ref="G54" si="54">G53-G52</f>
        <v>96.415972423161151</v>
      </c>
      <c r="H54" s="18">
        <f t="shared" ref="H54" si="55">H53-H52</f>
        <v>74.380636722518574</v>
      </c>
      <c r="I54" s="18">
        <f t="shared" ref="I54" si="56">I53-I52</f>
        <v>91.326636597310369</v>
      </c>
      <c r="J54" s="18">
        <f t="shared" ref="J54" si="57">J53-J52</f>
        <v>29.179025554090231</v>
      </c>
      <c r="K54" s="18">
        <f>K53-K52</f>
        <v>2.6598370634053197</v>
      </c>
      <c r="L54" s="41"/>
      <c r="M54" s="41"/>
      <c r="N54" s="41"/>
      <c r="O54" s="39"/>
      <c r="P54" s="3" t="s">
        <v>33</v>
      </c>
      <c r="Q54" s="18"/>
      <c r="R54" s="18">
        <f t="shared" ref="R54" si="58">R53-R52</f>
        <v>294.12610367769355</v>
      </c>
      <c r="S54" s="18">
        <f t="shared" ref="S54" si="59">S53-S52</f>
        <v>180.8939992549825</v>
      </c>
      <c r="T54" s="18">
        <f t="shared" ref="T54" si="60">T53-T52</f>
        <v>79.886433052927202</v>
      </c>
      <c r="U54" s="18">
        <f t="shared" ref="U54" si="61">U53-U52</f>
        <v>79.033570354749799</v>
      </c>
      <c r="V54" s="18">
        <f t="shared" ref="V54" si="62">V53-V52</f>
        <v>79.371966141974255</v>
      </c>
      <c r="W54" s="18">
        <f t="shared" ref="W54" si="63">W53-W52</f>
        <v>78.464767987781968</v>
      </c>
      <c r="X54" s="18">
        <f t="shared" ref="X54" si="64">X53-X52</f>
        <v>55.064970795736144</v>
      </c>
      <c r="Y54" s="18">
        <f>Y53-Y52</f>
        <v>14.017284929617432</v>
      </c>
    </row>
    <row r="55" spans="2:25" x14ac:dyDescent="0.25">
      <c r="B55" s="30" t="s">
        <v>58</v>
      </c>
      <c r="L55" s="39"/>
      <c r="M55" s="39"/>
      <c r="N55" s="39"/>
      <c r="O55" s="39"/>
      <c r="P55" s="30" t="s">
        <v>58</v>
      </c>
    </row>
    <row r="56" spans="2:25" ht="14.45" x14ac:dyDescent="0.3">
      <c r="L56" s="39"/>
      <c r="M56" s="39"/>
      <c r="N56" s="39"/>
      <c r="O56" s="39"/>
    </row>
    <row r="57" spans="2:25" ht="14.45" x14ac:dyDescent="0.3">
      <c r="L57" s="39"/>
      <c r="M57" s="39"/>
      <c r="N57" s="39"/>
      <c r="O57" s="39"/>
    </row>
    <row r="58" spans="2:25" ht="14.45" x14ac:dyDescent="0.3">
      <c r="L58" s="39"/>
      <c r="M58" s="39"/>
      <c r="N58" s="39"/>
      <c r="O58" s="39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56"/>
  <sheetViews>
    <sheetView topLeftCell="A27" workbookViewId="0">
      <selection activeCell="B49" sqref="B49"/>
    </sheetView>
  </sheetViews>
  <sheetFormatPr defaultRowHeight="15" x14ac:dyDescent="0.25"/>
  <cols>
    <col min="2" max="2" width="40" bestFit="1" customWidth="1"/>
    <col min="3" max="10" width="9.5703125" bestFit="1" customWidth="1"/>
  </cols>
  <sheetData>
    <row r="2" spans="2:11" x14ac:dyDescent="0.25">
      <c r="B2" s="1" t="s">
        <v>83</v>
      </c>
    </row>
    <row r="4" spans="2:11" x14ac:dyDescent="0.25">
      <c r="B4" s="13" t="s">
        <v>39</v>
      </c>
    </row>
    <row r="5" spans="2:11" ht="14.45" x14ac:dyDescent="0.3">
      <c r="B5" s="3"/>
      <c r="C5" s="28">
        <v>2009</v>
      </c>
      <c r="D5" s="11">
        <v>2010</v>
      </c>
      <c r="E5" s="11">
        <v>2011</v>
      </c>
      <c r="F5" s="11">
        <v>2012</v>
      </c>
      <c r="G5" s="11">
        <v>2013</v>
      </c>
      <c r="H5" s="11">
        <v>2014</v>
      </c>
      <c r="I5" s="11">
        <v>2015</v>
      </c>
      <c r="J5" s="11">
        <v>2016</v>
      </c>
      <c r="K5" s="11">
        <v>2017</v>
      </c>
    </row>
    <row r="6" spans="2:11" ht="14.45" x14ac:dyDescent="0.3">
      <c r="B6" s="3" t="s">
        <v>5</v>
      </c>
      <c r="C6" s="28"/>
      <c r="D6" s="4">
        <f>+'Wskaźniki rotacji'!R7</f>
        <v>734386.5</v>
      </c>
      <c r="E6" s="4">
        <f>+'Wskaźniki rotacji'!S7</f>
        <v>624279.5</v>
      </c>
      <c r="F6" s="4">
        <f>+'Wskaźniki rotacji'!T7</f>
        <v>483298</v>
      </c>
      <c r="G6" s="4">
        <f>+'Wskaźniki rotacji'!U7</f>
        <v>531256.5</v>
      </c>
      <c r="H6" s="4">
        <f>+'Wskaźniki rotacji'!V7</f>
        <v>641656</v>
      </c>
      <c r="I6" s="4">
        <f>+'Wskaźniki rotacji'!W7</f>
        <v>833263</v>
      </c>
      <c r="J6" s="4">
        <f>+'Wskaźniki rotacji'!X7</f>
        <v>893398.5</v>
      </c>
      <c r="K6" s="4">
        <f>+'Wskaźniki rotacji'!Y7</f>
        <v>967779</v>
      </c>
    </row>
    <row r="7" spans="2:11" x14ac:dyDescent="0.25">
      <c r="B7" s="3" t="s">
        <v>40</v>
      </c>
      <c r="C7" s="28"/>
      <c r="D7" s="4">
        <f>+'Wskaźniki rotacji'!R8</f>
        <v>252281</v>
      </c>
      <c r="E7" s="4">
        <f>+'Wskaźniki rotacji'!S8</f>
        <v>301581</v>
      </c>
      <c r="F7" s="4">
        <f>+'Wskaźniki rotacji'!T8</f>
        <v>409651.5</v>
      </c>
      <c r="G7" s="4">
        <f>+'Wskaźniki rotacji'!U8</f>
        <v>637600.5</v>
      </c>
      <c r="H7" s="4">
        <f>+'Wskaźniki rotacji'!V8</f>
        <v>633496</v>
      </c>
      <c r="I7" s="4">
        <f>+'Wskaźniki rotacji'!W8</f>
        <v>442134.5</v>
      </c>
      <c r="J7" s="4">
        <f>+'Wskaźniki rotacji'!X8</f>
        <v>355967.5</v>
      </c>
      <c r="K7" s="4">
        <f>+'Wskaźniki rotacji'!Y8</f>
        <v>303855</v>
      </c>
    </row>
    <row r="8" spans="2:11" x14ac:dyDescent="0.25">
      <c r="B8" s="3" t="s">
        <v>7</v>
      </c>
      <c r="C8" s="28"/>
      <c r="D8" s="4">
        <f>+'Wskaźniki rotacji'!R9</f>
        <v>249966</v>
      </c>
      <c r="E8" s="4">
        <f>+'Wskaźniki rotacji'!S9</f>
        <v>326382.5</v>
      </c>
      <c r="F8" s="4">
        <f>+'Wskaźniki rotacji'!T9</f>
        <v>401996.5</v>
      </c>
      <c r="G8" s="4">
        <f>+'Wskaźniki rotacji'!U9</f>
        <v>482736</v>
      </c>
      <c r="H8" s="4">
        <f>+'Wskaźniki rotacji'!V9</f>
        <v>546537.5</v>
      </c>
      <c r="I8" s="4">
        <f>+'Wskaźniki rotacji'!W9</f>
        <v>613483.5</v>
      </c>
      <c r="J8" s="4">
        <f>+'Wskaźniki rotacji'!X9</f>
        <v>723749</v>
      </c>
      <c r="K8" s="4">
        <f>+'Wskaźniki rotacji'!Y9</f>
        <v>1004126</v>
      </c>
    </row>
    <row r="9" spans="2:11" x14ac:dyDescent="0.25">
      <c r="B9" s="7" t="s">
        <v>50</v>
      </c>
      <c r="C9" s="28"/>
      <c r="D9" s="4">
        <f>D6+D7-D8</f>
        <v>736701.5</v>
      </c>
      <c r="E9" s="4">
        <f>E6+E7-E8</f>
        <v>599478</v>
      </c>
      <c r="F9" s="4">
        <f>F6+F7-F8</f>
        <v>490953</v>
      </c>
      <c r="G9" s="4">
        <f t="shared" ref="G9" si="0">G6+G7-G8</f>
        <v>686121</v>
      </c>
      <c r="H9" s="4">
        <f>H6+H7-H8</f>
        <v>728614.5</v>
      </c>
      <c r="I9" s="4">
        <f>I6+I7-I8</f>
        <v>661914</v>
      </c>
      <c r="J9" s="4">
        <f>J6+J7-J8</f>
        <v>525617</v>
      </c>
      <c r="K9" s="4">
        <f>K6+K7-K8</f>
        <v>267508</v>
      </c>
    </row>
    <row r="10" spans="2:11" x14ac:dyDescent="0.25">
      <c r="B10" s="30" t="s">
        <v>58</v>
      </c>
      <c r="C10" s="35"/>
      <c r="D10" s="35"/>
      <c r="E10" s="35"/>
      <c r="F10" s="35"/>
      <c r="G10" s="35"/>
      <c r="H10" s="35"/>
      <c r="I10" s="35"/>
      <c r="J10" s="35"/>
    </row>
    <row r="11" spans="2:11" ht="14.45" x14ac:dyDescent="0.3">
      <c r="B11" s="42"/>
      <c r="C11" s="35"/>
      <c r="D11" s="35"/>
      <c r="E11" s="35"/>
      <c r="F11" s="35"/>
      <c r="G11" s="35"/>
      <c r="H11" s="35"/>
      <c r="I11" s="35"/>
      <c r="J11" s="35"/>
    </row>
    <row r="12" spans="2:11" x14ac:dyDescent="0.25">
      <c r="B12" s="1" t="s">
        <v>84</v>
      </c>
      <c r="C12" s="35"/>
      <c r="D12" s="35"/>
      <c r="E12" s="35"/>
      <c r="F12" s="35"/>
      <c r="G12" s="35"/>
      <c r="H12" s="35"/>
      <c r="I12" s="35"/>
      <c r="J12" s="35"/>
    </row>
    <row r="14" spans="2:11" ht="14.45" x14ac:dyDescent="0.3">
      <c r="B14" s="13" t="s">
        <v>38</v>
      </c>
    </row>
    <row r="15" spans="2:11" ht="14.45" x14ac:dyDescent="0.3">
      <c r="B15" s="3"/>
      <c r="C15" s="11">
        <v>2009</v>
      </c>
      <c r="D15" s="11">
        <v>2010</v>
      </c>
      <c r="E15" s="11">
        <v>2011</v>
      </c>
      <c r="F15" s="11">
        <v>2012</v>
      </c>
      <c r="G15" s="11">
        <v>2013</v>
      </c>
      <c r="H15" s="11">
        <v>2014</v>
      </c>
      <c r="I15" s="11">
        <v>2015</v>
      </c>
      <c r="J15" s="11">
        <v>2016</v>
      </c>
      <c r="K15" s="11">
        <v>2017</v>
      </c>
    </row>
    <row r="16" spans="2:11" ht="14.45" x14ac:dyDescent="0.3">
      <c r="B16" s="3" t="s">
        <v>5</v>
      </c>
      <c r="C16" s="4">
        <f>+'Wskaźniki rotacji'!C7</f>
        <v>695294</v>
      </c>
      <c r="D16" s="4">
        <f>+'Wskaźniki rotacji'!D7</f>
        <v>773479</v>
      </c>
      <c r="E16" s="4">
        <f>+'Wskaźniki rotacji'!E7</f>
        <v>475080</v>
      </c>
      <c r="F16" s="4">
        <f>+'Wskaźniki rotacji'!F7</f>
        <v>491516</v>
      </c>
      <c r="G16" s="4">
        <f>+'Wskaźniki rotacji'!G7</f>
        <v>570997</v>
      </c>
      <c r="H16" s="4">
        <f>+'Wskaźniki rotacji'!H7</f>
        <v>712315</v>
      </c>
      <c r="I16" s="4">
        <f>+'Wskaźniki rotacji'!I7</f>
        <v>954211</v>
      </c>
      <c r="J16" s="4">
        <f>+'Wskaźniki rotacji'!J7</f>
        <v>832586</v>
      </c>
      <c r="K16" s="4">
        <f>+'Wskaźniki rotacji'!K7</f>
        <v>1102972</v>
      </c>
    </row>
    <row r="17" spans="2:11" x14ac:dyDescent="0.25">
      <c r="B17" s="3" t="s">
        <v>40</v>
      </c>
      <c r="C17" s="4">
        <f>+'Wskaźniki rotacji'!C8</f>
        <v>245660</v>
      </c>
      <c r="D17" s="4">
        <f>+'Wskaźniki rotacji'!D8</f>
        <v>258902</v>
      </c>
      <c r="E17" s="4">
        <f>+'Wskaźniki rotacji'!E8</f>
        <v>344260</v>
      </c>
      <c r="F17" s="4">
        <f>+'Wskaźniki rotacji'!F8</f>
        <v>475043</v>
      </c>
      <c r="G17" s="4">
        <f>+'Wskaźniki rotacji'!G8</f>
        <v>800158</v>
      </c>
      <c r="H17" s="4">
        <f>+'Wskaźniki rotacji'!H8</f>
        <v>466834</v>
      </c>
      <c r="I17" s="4">
        <f>+'Wskaźniki rotacji'!I8</f>
        <v>417435</v>
      </c>
      <c r="J17" s="4">
        <f>+'Wskaźniki rotacji'!J8</f>
        <v>294500</v>
      </c>
      <c r="K17" s="4">
        <f>+'Wskaźniki rotacji'!K8</f>
        <v>313210</v>
      </c>
    </row>
    <row r="18" spans="2:11" x14ac:dyDescent="0.25">
      <c r="B18" s="3" t="s">
        <v>7</v>
      </c>
      <c r="C18" s="4">
        <f>+'Wskaźniki rotacji'!C9</f>
        <v>206610</v>
      </c>
      <c r="D18" s="4">
        <f>+'Wskaźniki rotacji'!D9</f>
        <v>293322</v>
      </c>
      <c r="E18" s="4">
        <f>+'Wskaźniki rotacji'!E9</f>
        <v>359443</v>
      </c>
      <c r="F18" s="4">
        <f>+'Wskaźniki rotacji'!F9</f>
        <v>444550</v>
      </c>
      <c r="G18" s="4">
        <f>+'Wskaźniki rotacji'!G9</f>
        <v>520922</v>
      </c>
      <c r="H18" s="4">
        <f>+'Wskaźniki rotacji'!H9</f>
        <v>572153</v>
      </c>
      <c r="I18" s="4">
        <f>+'Wskaźniki rotacji'!I9</f>
        <v>654814</v>
      </c>
      <c r="J18" s="4">
        <f>+'Wskaźniki rotacji'!J9</f>
        <v>792684</v>
      </c>
      <c r="K18" s="4">
        <f>+'Wskaźniki rotacji'!K9</f>
        <v>1215568</v>
      </c>
    </row>
    <row r="19" spans="2:11" x14ac:dyDescent="0.25">
      <c r="B19" s="7" t="s">
        <v>51</v>
      </c>
      <c r="C19" s="3"/>
      <c r="D19" s="4">
        <f t="shared" ref="D19" si="1">D16+D17-D18</f>
        <v>739059</v>
      </c>
      <c r="E19" s="4">
        <f t="shared" ref="E19" si="2">E16+E17-E18</f>
        <v>459897</v>
      </c>
      <c r="F19" s="4">
        <f t="shared" ref="F19" si="3">F16+F17-F18</f>
        <v>522009</v>
      </c>
      <c r="G19" s="4">
        <f t="shared" ref="G19" si="4">G16+G17-G18</f>
        <v>850233</v>
      </c>
      <c r="H19" s="4">
        <f t="shared" ref="H19" si="5">H16+H17-H18</f>
        <v>606996</v>
      </c>
      <c r="I19" s="4">
        <f t="shared" ref="I19" si="6">I16+I17-I18</f>
        <v>716832</v>
      </c>
      <c r="J19" s="4">
        <f t="shared" ref="J19" si="7">J16+J17-J18</f>
        <v>334402</v>
      </c>
      <c r="K19" s="4">
        <f>K16+K17-K18</f>
        <v>200614</v>
      </c>
    </row>
    <row r="20" spans="2:11" x14ac:dyDescent="0.25">
      <c r="B20" s="30" t="s">
        <v>58</v>
      </c>
      <c r="C20" s="35"/>
      <c r="D20" s="35"/>
      <c r="E20" s="35"/>
      <c r="F20" s="35"/>
      <c r="G20" s="35"/>
      <c r="H20" s="35"/>
      <c r="I20" s="35"/>
      <c r="J20" s="35"/>
      <c r="K20" s="19"/>
    </row>
    <row r="21" spans="2:11" ht="14.45" x14ac:dyDescent="0.3">
      <c r="B21" s="42"/>
      <c r="C21" s="35"/>
      <c r="D21" s="35"/>
      <c r="E21" s="35"/>
      <c r="F21" s="35"/>
      <c r="G21" s="35"/>
      <c r="H21" s="35"/>
      <c r="I21" s="35"/>
      <c r="J21" s="35"/>
      <c r="K21" s="19"/>
    </row>
    <row r="22" spans="2:11" ht="14.45" x14ac:dyDescent="0.3">
      <c r="B22" s="22" t="s">
        <v>82</v>
      </c>
      <c r="C22" s="35"/>
      <c r="D22" s="35"/>
      <c r="E22" s="35"/>
      <c r="F22" s="35"/>
      <c r="G22" s="35"/>
      <c r="H22" s="35"/>
      <c r="I22" s="35"/>
      <c r="J22" s="35"/>
      <c r="K22" s="19"/>
    </row>
    <row r="24" spans="2:11" x14ac:dyDescent="0.25">
      <c r="B24" s="11" t="s">
        <v>14</v>
      </c>
      <c r="C24" s="28">
        <v>2009</v>
      </c>
      <c r="D24" s="11">
        <v>2010</v>
      </c>
      <c r="E24" s="11">
        <v>2011</v>
      </c>
      <c r="F24" s="11">
        <v>2012</v>
      </c>
      <c r="G24" s="11">
        <v>2013</v>
      </c>
      <c r="H24" s="11">
        <v>2014</v>
      </c>
      <c r="I24" s="11">
        <v>2015</v>
      </c>
      <c r="J24" s="11">
        <v>2016</v>
      </c>
      <c r="K24" s="11">
        <v>2017</v>
      </c>
    </row>
    <row r="25" spans="2:11" x14ac:dyDescent="0.25">
      <c r="B25" s="3" t="s">
        <v>29</v>
      </c>
      <c r="C25" s="4"/>
      <c r="D25" s="12">
        <v>370.09826791113812</v>
      </c>
      <c r="E25" s="12">
        <v>272.80141260219784</v>
      </c>
      <c r="F25" s="12">
        <v>153.4567659590756</v>
      </c>
      <c r="G25" s="12">
        <v>135.92761212653113</v>
      </c>
      <c r="H25" s="12">
        <v>145.51622798269992</v>
      </c>
      <c r="I25" s="12">
        <v>156.37165627757088</v>
      </c>
      <c r="J25" s="12">
        <v>145.65646602321638</v>
      </c>
      <c r="K25" s="12">
        <v>151.85891891241226</v>
      </c>
    </row>
    <row r="26" spans="2:11" x14ac:dyDescent="0.25">
      <c r="B26" s="3" t="s">
        <v>30</v>
      </c>
      <c r="C26" s="4"/>
      <c r="D26" s="12">
        <v>49.999628053962041</v>
      </c>
      <c r="E26" s="12">
        <v>50.717175556692048</v>
      </c>
      <c r="F26" s="12">
        <v>54.071583296417174</v>
      </c>
      <c r="G26" s="12">
        <v>66.619085629978727</v>
      </c>
      <c r="H26" s="12">
        <v>57.800773273252638</v>
      </c>
      <c r="I26" s="12">
        <v>37.220545658389675</v>
      </c>
      <c r="J26" s="12">
        <v>27.40592879756214</v>
      </c>
      <c r="K26" s="12">
        <v>19.720669819875887</v>
      </c>
    </row>
    <row r="27" spans="2:11" x14ac:dyDescent="0.25">
      <c r="B27" s="3" t="s">
        <v>31</v>
      </c>
      <c r="C27" s="4"/>
      <c r="D27" s="12">
        <v>125.97179228740663</v>
      </c>
      <c r="E27" s="12">
        <v>142.62458890390738</v>
      </c>
      <c r="F27" s="12">
        <v>127.64191620256557</v>
      </c>
      <c r="G27" s="12">
        <v>123.51312740176004</v>
      </c>
      <c r="H27" s="12">
        <v>123.94503511397831</v>
      </c>
      <c r="I27" s="12">
        <v>115.12743394817859</v>
      </c>
      <c r="J27" s="12">
        <v>117.99742402504239</v>
      </c>
      <c r="K27" s="12">
        <v>157.56230380267073</v>
      </c>
    </row>
    <row r="28" spans="2:11" ht="14.45" x14ac:dyDescent="0.3">
      <c r="B28" s="3" t="s">
        <v>32</v>
      </c>
      <c r="C28" s="3"/>
      <c r="D28" s="12">
        <v>420.09789596510018</v>
      </c>
      <c r="E28" s="12">
        <v>323.51858815888988</v>
      </c>
      <c r="F28" s="12">
        <v>207.52834925549277</v>
      </c>
      <c r="G28" s="12">
        <v>202.54669775650984</v>
      </c>
      <c r="H28" s="12">
        <v>203.31700125595256</v>
      </c>
      <c r="I28" s="12">
        <v>193.59220193596056</v>
      </c>
      <c r="J28" s="12">
        <v>173.06239482077854</v>
      </c>
      <c r="K28" s="12">
        <v>171.57958873228816</v>
      </c>
    </row>
    <row r="29" spans="2:11" x14ac:dyDescent="0.25">
      <c r="B29" s="3" t="s">
        <v>33</v>
      </c>
      <c r="C29" s="28"/>
      <c r="D29" s="12">
        <v>294.12610367769355</v>
      </c>
      <c r="E29" s="12">
        <v>180.8939992549825</v>
      </c>
      <c r="F29" s="12">
        <v>79.886433052927202</v>
      </c>
      <c r="G29" s="12">
        <v>79.033570354749799</v>
      </c>
      <c r="H29" s="12">
        <v>79.371966141974255</v>
      </c>
      <c r="I29" s="12">
        <v>78.464767987781968</v>
      </c>
      <c r="J29" s="12">
        <v>55.064970795736144</v>
      </c>
      <c r="K29" s="12">
        <v>14.017284929617432</v>
      </c>
    </row>
    <row r="30" spans="2:11" x14ac:dyDescent="0.25">
      <c r="B30" s="30" t="s">
        <v>58</v>
      </c>
      <c r="C30" s="20"/>
      <c r="D30" s="20"/>
      <c r="E30" s="20"/>
      <c r="F30" s="20"/>
      <c r="G30" s="20"/>
      <c r="H30" s="20"/>
      <c r="J30" s="20"/>
    </row>
    <row r="31" spans="2:11" ht="14.45" x14ac:dyDescent="0.3">
      <c r="B31" s="19"/>
      <c r="C31" s="20"/>
      <c r="D31" s="20"/>
      <c r="E31" s="20"/>
      <c r="F31" s="20"/>
      <c r="G31" s="20"/>
      <c r="H31" s="20"/>
      <c r="I31" s="20"/>
      <c r="J31" s="20"/>
    </row>
    <row r="32" spans="2:11" ht="14.45" x14ac:dyDescent="0.3">
      <c r="B32" s="19"/>
      <c r="C32" s="20"/>
      <c r="D32" s="20"/>
      <c r="E32" s="20"/>
      <c r="F32" s="20"/>
      <c r="G32" s="20"/>
      <c r="H32" s="20"/>
      <c r="I32" s="20"/>
      <c r="J32" s="20"/>
    </row>
    <row r="33" spans="2:12" x14ac:dyDescent="0.25">
      <c r="B33" s="22" t="s">
        <v>85</v>
      </c>
      <c r="C33" s="20"/>
      <c r="D33" s="20"/>
      <c r="E33" s="20"/>
      <c r="F33" s="20"/>
      <c r="G33" s="20"/>
      <c r="H33" s="20"/>
      <c r="I33" s="20"/>
      <c r="J33" s="20"/>
    </row>
    <row r="34" spans="2:12" ht="14.45" x14ac:dyDescent="0.3">
      <c r="B34" s="19"/>
      <c r="C34" s="20"/>
      <c r="D34" s="20"/>
      <c r="E34" s="20"/>
      <c r="F34" s="20"/>
      <c r="G34" s="20"/>
      <c r="H34" s="20"/>
      <c r="I34" s="20"/>
      <c r="J34" s="20"/>
    </row>
    <row r="35" spans="2:12" ht="14.45" x14ac:dyDescent="0.3">
      <c r="B35" s="22" t="s">
        <v>45</v>
      </c>
      <c r="C35" s="20">
        <v>149</v>
      </c>
      <c r="D35" s="21">
        <f>C35/100</f>
        <v>1.49</v>
      </c>
      <c r="E35" s="20"/>
      <c r="F35" s="20"/>
      <c r="G35" s="20"/>
      <c r="H35" s="20"/>
      <c r="I35" s="20"/>
      <c r="J35" s="20"/>
    </row>
    <row r="36" spans="2:12" ht="14.45" x14ac:dyDescent="0.3">
      <c r="B36" s="19"/>
      <c r="C36" s="20"/>
      <c r="D36" s="20"/>
      <c r="E36" s="20"/>
      <c r="F36" s="20"/>
      <c r="G36" s="20"/>
      <c r="H36" s="20"/>
      <c r="I36" s="20"/>
      <c r="J36" s="20"/>
    </row>
    <row r="37" spans="2:12" ht="14.45" x14ac:dyDescent="0.3">
      <c r="B37" s="22" t="s">
        <v>47</v>
      </c>
      <c r="C37" s="20">
        <v>112</v>
      </c>
      <c r="D37" s="21">
        <f>C37/100</f>
        <v>1.1200000000000001</v>
      </c>
      <c r="E37" s="20"/>
      <c r="F37" s="20"/>
      <c r="G37" s="20"/>
      <c r="H37" s="20"/>
      <c r="I37" s="20"/>
      <c r="J37" s="20"/>
    </row>
    <row r="38" spans="2:12" ht="14.45" x14ac:dyDescent="0.3">
      <c r="B38" s="19"/>
      <c r="C38" s="28">
        <v>2009</v>
      </c>
      <c r="D38" s="11">
        <v>2010</v>
      </c>
      <c r="E38" s="11">
        <v>2011</v>
      </c>
      <c r="F38" s="11">
        <v>2012</v>
      </c>
      <c r="G38" s="11">
        <v>2013</v>
      </c>
      <c r="H38" s="11">
        <v>2014</v>
      </c>
      <c r="I38" s="11">
        <v>2015</v>
      </c>
      <c r="J38" s="11">
        <v>2016</v>
      </c>
      <c r="K38" s="11">
        <v>2017</v>
      </c>
      <c r="L38" s="11">
        <v>2018</v>
      </c>
    </row>
    <row r="39" spans="2:12" ht="14.45" x14ac:dyDescent="0.3">
      <c r="B39" s="7" t="s">
        <v>45</v>
      </c>
      <c r="C39" s="4"/>
      <c r="D39" s="4">
        <f>+'Dane wyjściowe'!D5</f>
        <v>1841665</v>
      </c>
      <c r="E39" s="4">
        <f>+'Dane wyjściowe'!E5</f>
        <v>2170410</v>
      </c>
      <c r="F39" s="4">
        <f>+'Dane wyjściowe'!F5</f>
        <v>2765275</v>
      </c>
      <c r="G39" s="4">
        <f>+'Dane wyjściowe'!G5</f>
        <v>3493356</v>
      </c>
      <c r="H39" s="4">
        <f>+'Dane wyjściowe'!H5</f>
        <v>4000397</v>
      </c>
      <c r="I39" s="4">
        <f>+'Dane wyjściowe'!I5</f>
        <v>4335753</v>
      </c>
      <c r="J39" s="4">
        <f>+'Dane wyjściowe'!J5</f>
        <v>4740877</v>
      </c>
      <c r="K39" s="4">
        <f>+'Dane wyjściowe'!K5</f>
        <v>5623900</v>
      </c>
      <c r="L39" s="4">
        <f>K39*D35</f>
        <v>8379611</v>
      </c>
    </row>
    <row r="40" spans="2:12" ht="14.45" x14ac:dyDescent="0.3">
      <c r="B40" s="7" t="s">
        <v>46</v>
      </c>
      <c r="C40" s="4"/>
      <c r="D40" s="4">
        <f>'Dane wyjściowe'!D6-'Dane wyjściowe'!D18-'Dane wyjściowe'!D19</f>
        <v>724270</v>
      </c>
      <c r="E40" s="4">
        <f>'Dane wyjściowe'!E6-'Dane wyjściowe'!E18-'Dane wyjściowe'!E19</f>
        <v>835267</v>
      </c>
      <c r="F40" s="4">
        <f>'Dane wyjściowe'!F6-'Dane wyjściowe'!F18-'Dane wyjściowe'!F19</f>
        <v>1149534</v>
      </c>
      <c r="G40" s="4">
        <f>'Dane wyjściowe'!G6-'Dane wyjściowe'!G18-'Dane wyjściowe'!G19</f>
        <v>1426558</v>
      </c>
      <c r="H40" s="4">
        <f>'Dane wyjściowe'!H6-'Dane wyjściowe'!H18-'Dane wyjściowe'!H19</f>
        <v>1609473</v>
      </c>
      <c r="I40" s="4">
        <f>'Dane wyjściowe'!I6-'Dane wyjściowe'!I18-'Dane wyjściowe'!I19</f>
        <v>1944988</v>
      </c>
      <c r="J40" s="4">
        <f>'Dane wyjściowe'!J6-'Dane wyjściowe'!J18-'Dane wyjściowe'!J19</f>
        <v>2238764</v>
      </c>
      <c r="K40" s="4">
        <f>'Dane wyjściowe'!K6-'Dane wyjściowe'!K18-'Dane wyjściowe'!K19</f>
        <v>2326102</v>
      </c>
      <c r="L40" s="4">
        <f>K40*D37</f>
        <v>2605234.2400000002</v>
      </c>
    </row>
    <row r="42" spans="2:12" x14ac:dyDescent="0.25">
      <c r="B42" s="23" t="s">
        <v>48</v>
      </c>
      <c r="C42" s="5" t="s">
        <v>42</v>
      </c>
      <c r="D42" s="5" t="s">
        <v>43</v>
      </c>
    </row>
    <row r="43" spans="2:12" x14ac:dyDescent="0.25">
      <c r="B43" s="3" t="s">
        <v>29</v>
      </c>
      <c r="C43" s="12">
        <f>+K25</f>
        <v>151.85891891241226</v>
      </c>
      <c r="D43" s="14">
        <v>200</v>
      </c>
    </row>
    <row r="44" spans="2:12" x14ac:dyDescent="0.25">
      <c r="B44" s="3" t="s">
        <v>30</v>
      </c>
      <c r="C44" s="12">
        <f>+K26</f>
        <v>19.720669819875887</v>
      </c>
      <c r="D44" s="14">
        <v>75</v>
      </c>
    </row>
    <row r="45" spans="2:12" x14ac:dyDescent="0.25">
      <c r="B45" s="3" t="s">
        <v>31</v>
      </c>
      <c r="C45" s="12">
        <f>+K27</f>
        <v>157.56230380267073</v>
      </c>
      <c r="D45" s="14">
        <v>150</v>
      </c>
    </row>
    <row r="46" spans="2:12" ht="14.45" x14ac:dyDescent="0.3">
      <c r="B46" s="19"/>
      <c r="C46" s="20"/>
    </row>
    <row r="47" spans="2:12" ht="14.45" x14ac:dyDescent="0.3">
      <c r="C47" s="46" t="s">
        <v>44</v>
      </c>
      <c r="D47" s="46"/>
    </row>
    <row r="48" spans="2:12" ht="14.45" x14ac:dyDescent="0.3">
      <c r="C48" s="45">
        <v>2018</v>
      </c>
      <c r="D48" s="45"/>
    </row>
    <row r="49" spans="2:4" ht="14.45" x14ac:dyDescent="0.3">
      <c r="B49" s="3" t="s">
        <v>5</v>
      </c>
      <c r="C49" s="4">
        <f>C43/365*L40</f>
        <v>1083912.4800000002</v>
      </c>
      <c r="D49" s="4">
        <f>D43/365*L40</f>
        <v>1427525.6109589043</v>
      </c>
    </row>
    <row r="50" spans="2:4" x14ac:dyDescent="0.25">
      <c r="B50" s="3" t="s">
        <v>10</v>
      </c>
      <c r="C50" s="4">
        <f>C44/365*L39</f>
        <v>452743.95</v>
      </c>
      <c r="D50" s="4">
        <f>D44/365*L39</f>
        <v>1721837.8767123288</v>
      </c>
    </row>
    <row r="51" spans="2:4" x14ac:dyDescent="0.25">
      <c r="B51" s="3" t="s">
        <v>7</v>
      </c>
      <c r="C51" s="4">
        <f>C45/365*L40</f>
        <v>1124621.1200000001</v>
      </c>
      <c r="D51" s="4">
        <f>D45/365*L40</f>
        <v>1070644.208219178</v>
      </c>
    </row>
    <row r="53" spans="2:4" x14ac:dyDescent="0.25">
      <c r="B53" s="3" t="s">
        <v>53</v>
      </c>
      <c r="C53" s="4">
        <f>+C49+C50-C51</f>
        <v>412035.31000000006</v>
      </c>
      <c r="D53" s="4">
        <f>+D49+D50-D51</f>
        <v>2078719.2794520548</v>
      </c>
    </row>
    <row r="54" spans="2:4" x14ac:dyDescent="0.25">
      <c r="B54" s="24" t="s">
        <v>49</v>
      </c>
      <c r="C54" s="25">
        <f>C53-K9</f>
        <v>144527.31000000006</v>
      </c>
      <c r="D54" s="25">
        <f>D53-K9</f>
        <v>1811211.2794520548</v>
      </c>
    </row>
    <row r="55" spans="2:4" x14ac:dyDescent="0.25">
      <c r="B55" s="24" t="s">
        <v>52</v>
      </c>
      <c r="C55" s="25">
        <f>2*C53-K19</f>
        <v>623456.62000000011</v>
      </c>
      <c r="D55" s="25">
        <f>2*D54-K19</f>
        <v>3421808.5589041095</v>
      </c>
    </row>
    <row r="56" spans="2:4" x14ac:dyDescent="0.25">
      <c r="B56" s="30" t="s">
        <v>58</v>
      </c>
    </row>
  </sheetData>
  <mergeCells count="2">
    <mergeCell ref="C48:D48"/>
    <mergeCell ref="C47:D47"/>
  </mergeCells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Scroll Bar 1">
              <controlPr defaultSize="0" autoPict="0">
                <anchor moveWithCells="1">
                  <from>
                    <xdr:col>1</xdr:col>
                    <xdr:colOff>1495425</xdr:colOff>
                    <xdr:row>33</xdr:row>
                    <xdr:rowOff>180975</xdr:rowOff>
                  </from>
                  <to>
                    <xdr:col>1</xdr:col>
                    <xdr:colOff>2219325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Scroll Bar 2">
              <controlPr defaultSize="0" autoPict="0">
                <anchor moveWithCells="1">
                  <from>
                    <xdr:col>1</xdr:col>
                    <xdr:colOff>1476375</xdr:colOff>
                    <xdr:row>36</xdr:row>
                    <xdr:rowOff>0</xdr:rowOff>
                  </from>
                  <to>
                    <xdr:col>1</xdr:col>
                    <xdr:colOff>2200275</xdr:colOff>
                    <xdr:row>37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Dane wyjściowe</vt:lpstr>
      <vt:lpstr>Wskaźniki płynności finansowej</vt:lpstr>
      <vt:lpstr>Kapitał obrotowy netto</vt:lpstr>
      <vt:lpstr>Wskaźniki rotacji</vt:lpstr>
      <vt:lpstr>Prognoza zapotrzebowania</vt:lpstr>
    </vt:vector>
  </TitlesOfParts>
  <Company>Uniwersyet Gdański, Wydział Zarządzania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Chmielewski</dc:creator>
  <cp:lastModifiedBy>Justyna Poniewierska</cp:lastModifiedBy>
  <dcterms:created xsi:type="dcterms:W3CDTF">2019-10-31T10:23:42Z</dcterms:created>
  <dcterms:modified xsi:type="dcterms:W3CDTF">2020-04-24T13:13:27Z</dcterms:modified>
</cp:coreProperties>
</file>